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ate1904="1" codeName="DieseArbeitsmappe" hidePivotFieldList="1"/>
  <mc:AlternateContent xmlns:mc="http://schemas.openxmlformats.org/markup-compatibility/2006">
    <mc:Choice Requires="x15">
      <x15ac:absPath xmlns:x15ac="http://schemas.microsoft.com/office/spreadsheetml/2010/11/ac" url="C:\Users\Simon\Dropbox\Brief an SR Einführung Abwesenheitserfassung light\Neues Tool SZ\"/>
    </mc:Choice>
  </mc:AlternateContent>
  <xr:revisionPtr revIDLastSave="0" documentId="13_ncr:1_{7507EAE6-A673-4139-AFB3-48B5EBF8DC0A}" xr6:coauthVersionLast="47" xr6:coauthVersionMax="47" xr10:uidLastSave="{00000000-0000-0000-0000-000000000000}"/>
  <workbookProtection workbookAlgorithmName="SHA-512" workbookHashValue="gWx/5HuSTq3oTdAUH9mu0GeqTxQnqT/qEyaYUoShSHGGkXshN1y1/JdJNP2qTE+4g1OaixltIKmOXXCWFxSlkQ==" workbookSaltValue="9xBMOj8uP4aRgFKW2wuang==" workbookSpinCount="100000" lockStructure="1"/>
  <bookViews>
    <workbookView xWindow="-120" yWindow="-120" windowWidth="38640" windowHeight="21120" tabRatio="835" activeTab="2" xr2:uid="{00000000-000D-0000-FFFF-FFFF00000000}"/>
  </bookViews>
  <sheets>
    <sheet name="LIES MICH" sheetId="41" r:id="rId1"/>
    <sheet name="LISEZ MOI" sheetId="42" r:id="rId2"/>
    <sheet name="Deckblatt" sheetId="1" r:id="rId3"/>
    <sheet name="Arbeitsber." sheetId="20" r:id="rId4"/>
    <sheet name="Jan" sheetId="16" r:id="rId5"/>
    <sheet name="Feb" sheetId="28" r:id="rId6"/>
    <sheet name="Mär" sheetId="29" r:id="rId7"/>
    <sheet name="Apr" sheetId="30" r:id="rId8"/>
    <sheet name="Mai" sheetId="31" r:id="rId9"/>
    <sheet name="Jun" sheetId="32" r:id="rId10"/>
    <sheet name="Jul" sheetId="33" r:id="rId11"/>
    <sheet name="Aug" sheetId="34" r:id="rId12"/>
    <sheet name="Sep" sheetId="35" r:id="rId13"/>
    <sheet name="Okt" sheetId="36" r:id="rId14"/>
    <sheet name="Nov" sheetId="37" r:id="rId15"/>
    <sheet name="Dez" sheetId="38" r:id="rId16"/>
    <sheet name="Zusammenzug" sheetId="40" r:id="rId17"/>
    <sheet name="Auswertung" sheetId="26" r:id="rId18"/>
    <sheet name="Deckblatt light" sheetId="13" r:id="rId19"/>
    <sheet name="f. d. couverture light" sheetId="43" r:id="rId20"/>
    <sheet name="Feier-&amp;Freitage" sheetId="27" r:id="rId21"/>
    <sheet name="Formeln" sheetId="6" r:id="rId22"/>
  </sheets>
  <definedNames>
    <definedName name="AAnzTage">Formeln!$D$11</definedName>
    <definedName name="BGrad1">Deckblatt!$H$21</definedName>
    <definedName name="BGrad2">Deckblatt!$H$22</definedName>
    <definedName name="BGrad3">Deckblatt!$H$23</definedName>
    <definedName name="BGrad4">Deckblatt!$H$24</definedName>
    <definedName name="BGrad5">Deckblatt!$H$25</definedName>
    <definedName name="_xlnm.Print_Area" localSheetId="7">Apr!$B$9:$AM$94</definedName>
    <definedName name="_xlnm.Print_Area" localSheetId="3">Arbeitsber.!$B$2:$H$49</definedName>
    <definedName name="_xlnm.Print_Area" localSheetId="11">Aug!$B$9:$AM$94</definedName>
    <definedName name="_xlnm.Print_Area" localSheetId="17">Auswertung!$B$2:$AL$35,Auswertung!$B$37:$AL$68,Auswertung!$AN$4:$AR$35</definedName>
    <definedName name="_xlnm.Print_Area" localSheetId="2">Deckblatt!$B$2:$M$41</definedName>
    <definedName name="_xlnm.Print_Area" localSheetId="18">'Deckblatt light'!$A$1:$G$56</definedName>
    <definedName name="_xlnm.Print_Area" localSheetId="15">Dez!$B$9:$AM$94</definedName>
    <definedName name="_xlnm.Print_Area" localSheetId="19">'f. d. couverture light'!$A$1:$G$56</definedName>
    <definedName name="_xlnm.Print_Area" localSheetId="5">Feb!$B$9:$AM$94</definedName>
    <definedName name="_xlnm.Print_Area" localSheetId="20">'Feier-&amp;Freitage'!$B$2:$M$21</definedName>
    <definedName name="_xlnm.Print_Area" localSheetId="21">Formeln!$A$1:$N$34</definedName>
    <definedName name="_xlnm.Print_Area" localSheetId="4">Jan!$B$9:$AM$94</definedName>
    <definedName name="_xlnm.Print_Area" localSheetId="10">Jul!$B$9:$AM$94</definedName>
    <definedName name="_xlnm.Print_Area" localSheetId="9">Jun!$B$9:$AM$94</definedName>
    <definedName name="_xlnm.Print_Area" localSheetId="0">'LIES MICH'!$B$1:$B$120</definedName>
    <definedName name="_xlnm.Print_Area" localSheetId="1">'LISEZ MOI'!$B$1:$B$130</definedName>
    <definedName name="_xlnm.Print_Area" localSheetId="8">Mai!$B$9:$AM$94</definedName>
    <definedName name="_xlnm.Print_Area" localSheetId="6">Mär!$B$9:$AM$94</definedName>
    <definedName name="_xlnm.Print_Area" localSheetId="14">Nov!$B$9:$AM$94</definedName>
    <definedName name="_xlnm.Print_Area" localSheetId="13">Okt!$B$9:$AM$94</definedName>
    <definedName name="_xlnm.Print_Area" localSheetId="12">Sep!$B$9:$AM$94</definedName>
    <definedName name="_xlnm.Print_Area" localSheetId="16">Zusammenzug!$B$2:$P$74</definedName>
    <definedName name="DUAM1">Deckblatt!$C$21</definedName>
    <definedName name="DUAM2">Deckblatt!$C$22</definedName>
    <definedName name="DUAM3">Deckblatt!$C$23</definedName>
    <definedName name="DUAM4">Deckblatt!$C$24</definedName>
    <definedName name="DUAM5">Deckblatt!$C$25</definedName>
    <definedName name="DUAT1">Deckblatt!$B$21</definedName>
    <definedName name="DUAT2">Deckblatt!$B$22</definedName>
    <definedName name="DUAT3">Deckblatt!$B$23</definedName>
    <definedName name="DUAT4">Deckblatt!$B$24</definedName>
    <definedName name="DUAT5">Deckblatt!$B$25</definedName>
    <definedName name="DUEM1">Deckblatt!$F$21</definedName>
    <definedName name="DUEM2">Deckblatt!$F$22</definedName>
    <definedName name="DUEM3">Deckblatt!$F$23</definedName>
    <definedName name="DUEM4">Deckblatt!$F$24</definedName>
    <definedName name="DUEM5">Deckblatt!$F$25</definedName>
    <definedName name="DUET1">Deckblatt!$E$21</definedName>
    <definedName name="DUET2">Deckblatt!$E$22</definedName>
    <definedName name="DUET3">Deckblatt!$E$23</definedName>
    <definedName name="DUET4">Deckblatt!$E$24</definedName>
    <definedName name="DUET5">Deckblatt!$E$25</definedName>
    <definedName name="Feiertagsanspruch">'Feier-&amp;Freitage'!$B$5:$M$21</definedName>
    <definedName name="Ferienanspruch">Formeln!$D$6</definedName>
    <definedName name="Ferienkorrektur">Deckblatt!$J$15</definedName>
    <definedName name="FTSt1">Formeln!$D$4</definedName>
    <definedName name="FTSt2">Formeln!$D$3</definedName>
    <definedName name="GebJ">Deckblatt!$D$8</definedName>
    <definedName name="GuthLangzeitAnfJahrinStunden">Deckblatt!$J$13</definedName>
    <definedName name="GuthLangzeitEndVorJahrinStunden">Deckblatt!$J$11</definedName>
    <definedName name="GutschriftTreueprämie">Deckblatt!$J$12</definedName>
    <definedName name="Jahr">Deckblatt!$M$2</definedName>
    <definedName name="JahresBG">Deckblatt!$H$26</definedName>
    <definedName name="Kirchgemeinde">Deckblatt!$D$6</definedName>
    <definedName name="KSJ">Formeln!$B$11</definedName>
    <definedName name="MaxAbwesenheitenproTag">Formeln!$E$17</definedName>
    <definedName name="Ostern">Formeln!$C$13</definedName>
    <definedName name="Pfarrer">Deckblatt!$D$7</definedName>
    <definedName name="SaldoStdEndeApr">Apr!$AM$74</definedName>
    <definedName name="SaldoStdEndeAug">Aug!$AM$74</definedName>
    <definedName name="SaldoStdEndeFeb">Feb!$AM$74</definedName>
    <definedName name="SaldoStdEndeJan">Jan!$AM$74</definedName>
    <definedName name="SaldoStdEndeJul">Jul!$AM$74</definedName>
    <definedName name="SaldoStdEndeJuni">Jun!$AM$74</definedName>
    <definedName name="SaldoStdEndeMai">Mai!$AM$74</definedName>
    <definedName name="SaldoStdEndeMär">Mär!$AM$74</definedName>
    <definedName name="SaldoStdEndeNov">Nov!$AM$74</definedName>
    <definedName name="SaldoStdEndeOkt">Okt!$AM$74</definedName>
    <definedName name="SaldoStdEndeSep">Sep!$AM$74</definedName>
    <definedName name="TageBGeffektiv">Deckblatt!$N$26</definedName>
    <definedName name="TaginSt">Formeln!$D$8</definedName>
    <definedName name="TotalFerienanspruchinStunden">Deckblatt!$G$34</definedName>
    <definedName name="TotalFerienanspruchinTagengemPensum">Deckblatt!$F$34</definedName>
    <definedName name="TotalferiernanspruchinGanztagen">Deckblatt!$E$34</definedName>
    <definedName name="Version">Deckblatt!$K$2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43" l="1"/>
  <c r="AM31" i="28"/>
  <c r="AM32" i="28"/>
  <c r="AM33" i="28"/>
  <c r="AM34" i="28"/>
  <c r="AM35" i="28"/>
  <c r="AM36" i="28"/>
  <c r="AM37" i="28"/>
  <c r="AM38" i="28"/>
  <c r="AM31" i="29"/>
  <c r="AM32" i="29"/>
  <c r="AM33" i="29"/>
  <c r="AM34" i="29"/>
  <c r="AM35" i="29"/>
  <c r="AM36" i="29"/>
  <c r="AM37" i="29"/>
  <c r="AM38" i="29"/>
  <c r="AM31" i="30"/>
  <c r="AM32" i="30"/>
  <c r="AM33" i="30"/>
  <c r="AM34" i="30"/>
  <c r="AM35" i="30"/>
  <c r="AM36" i="30"/>
  <c r="AM37" i="30"/>
  <c r="AM38" i="30"/>
  <c r="AM31" i="31"/>
  <c r="AM32" i="31"/>
  <c r="AM33" i="31"/>
  <c r="AM34" i="31"/>
  <c r="AM35" i="31"/>
  <c r="AM36" i="31"/>
  <c r="AM37" i="31"/>
  <c r="AM38" i="31"/>
  <c r="AM31" i="32"/>
  <c r="AM32" i="32"/>
  <c r="AM33" i="32"/>
  <c r="AM34" i="32"/>
  <c r="AM35" i="32"/>
  <c r="AM36" i="32"/>
  <c r="AM37" i="32"/>
  <c r="AM38" i="32"/>
  <c r="AM31" i="33"/>
  <c r="AM32" i="33"/>
  <c r="AM33" i="33"/>
  <c r="AM34" i="33"/>
  <c r="AM35" i="33"/>
  <c r="AM36" i="33"/>
  <c r="AM37" i="33"/>
  <c r="AM38" i="33"/>
  <c r="AM31" i="34"/>
  <c r="AM32" i="34"/>
  <c r="AM33" i="34"/>
  <c r="AM34" i="34"/>
  <c r="AM35" i="34"/>
  <c r="AM36" i="34"/>
  <c r="AM37" i="34"/>
  <c r="AM38" i="34"/>
  <c r="AM31" i="35"/>
  <c r="AM32" i="35"/>
  <c r="AM33" i="35"/>
  <c r="AM34" i="35"/>
  <c r="AM35" i="35"/>
  <c r="AM36" i="35"/>
  <c r="AM37" i="35"/>
  <c r="AM38" i="35"/>
  <c r="AM31" i="36"/>
  <c r="AM32" i="36"/>
  <c r="AM33" i="36"/>
  <c r="AM34" i="36"/>
  <c r="AM35" i="36"/>
  <c r="AM36" i="36"/>
  <c r="AM37" i="36"/>
  <c r="AM38" i="36"/>
  <c r="AM31" i="37"/>
  <c r="AM32" i="37"/>
  <c r="AM33" i="37"/>
  <c r="AM34" i="37"/>
  <c r="AM35" i="37"/>
  <c r="AM36" i="37"/>
  <c r="AM37" i="37"/>
  <c r="AM38" i="37"/>
  <c r="AM31" i="38"/>
  <c r="AM32" i="38"/>
  <c r="AM33" i="38"/>
  <c r="AM34" i="38"/>
  <c r="AM35" i="38"/>
  <c r="AM36" i="38"/>
  <c r="AM37" i="38"/>
  <c r="AM38" i="38"/>
  <c r="AM31" i="16"/>
  <c r="AM32" i="16"/>
  <c r="AM33" i="16"/>
  <c r="AM34" i="16"/>
  <c r="AM35" i="16"/>
  <c r="AM36" i="16"/>
  <c r="AM37" i="16"/>
  <c r="AM38" i="16"/>
  <c r="AM30" i="28"/>
  <c r="AM30" i="29"/>
  <c r="AM30" i="30"/>
  <c r="AM30" i="31"/>
  <c r="AM30" i="32"/>
  <c r="AM30" i="33"/>
  <c r="AM30" i="34"/>
  <c r="AM30" i="35"/>
  <c r="AM30" i="36"/>
  <c r="AM30" i="37"/>
  <c r="AM30" i="38"/>
  <c r="AM30" i="16"/>
  <c r="B33" i="13"/>
  <c r="J15" i="1" l="1"/>
  <c r="J12" i="1"/>
  <c r="J11" i="1"/>
  <c r="G33" i="1" l="1"/>
  <c r="E33" i="1"/>
  <c r="B30" i="43"/>
  <c r="B27" i="43"/>
  <c r="C13" i="43"/>
  <c r="C12" i="43"/>
  <c r="F36" i="43"/>
  <c r="E24" i="43"/>
  <c r="E16" i="43"/>
  <c r="E11" i="43"/>
  <c r="E9" i="43"/>
  <c r="E8" i="43"/>
  <c r="A6" i="43"/>
  <c r="G5" i="43"/>
  <c r="G1" i="43"/>
  <c r="B40" i="42"/>
  <c r="B40" i="41"/>
  <c r="M2" i="27"/>
  <c r="G5" i="13"/>
  <c r="AL2" i="26"/>
  <c r="P2" i="40"/>
  <c r="B93" i="28"/>
  <c r="B93" i="29"/>
  <c r="B93" i="30"/>
  <c r="B93" i="31"/>
  <c r="B93" i="32"/>
  <c r="B93" i="33"/>
  <c r="B93" i="34"/>
  <c r="B93" i="35"/>
  <c r="B93" i="36"/>
  <c r="B93" i="37"/>
  <c r="B93" i="38"/>
  <c r="B93" i="16"/>
  <c r="H2" i="20"/>
  <c r="D20" i="43" l="1"/>
  <c r="B2" i="40"/>
  <c r="B12" i="1"/>
  <c r="B30" i="13"/>
  <c r="B2" i="26" l="1"/>
  <c r="B2" i="20"/>
  <c r="B60" i="40"/>
  <c r="B61" i="40"/>
  <c r="B62" i="40"/>
  <c r="B63" i="40"/>
  <c r="B64" i="40"/>
  <c r="B65" i="40"/>
  <c r="B66" i="40"/>
  <c r="B67" i="40"/>
  <c r="B68" i="40"/>
  <c r="B69" i="40"/>
  <c r="B70" i="40"/>
  <c r="B59" i="40"/>
  <c r="F79" i="16"/>
  <c r="F81" i="28"/>
  <c r="F82" i="28"/>
  <c r="F83" i="28"/>
  <c r="F84" i="28"/>
  <c r="F85" i="28"/>
  <c r="F86" i="28"/>
  <c r="F87" i="28"/>
  <c r="F88" i="28"/>
  <c r="F89" i="28"/>
  <c r="F90" i="28"/>
  <c r="F81" i="29"/>
  <c r="F82" i="29"/>
  <c r="F83" i="29"/>
  <c r="F84" i="29"/>
  <c r="F85" i="29"/>
  <c r="F86" i="29"/>
  <c r="F87" i="29"/>
  <c r="F88" i="29"/>
  <c r="F89" i="29"/>
  <c r="F90" i="29"/>
  <c r="F81" i="30"/>
  <c r="F82" i="30"/>
  <c r="F83" i="30"/>
  <c r="F84" i="30"/>
  <c r="F85" i="30"/>
  <c r="F86" i="30"/>
  <c r="F87" i="30"/>
  <c r="F88" i="30"/>
  <c r="F89" i="30"/>
  <c r="F90" i="30"/>
  <c r="F81" i="31"/>
  <c r="F82" i="31"/>
  <c r="F83" i="31"/>
  <c r="F84" i="31"/>
  <c r="F85" i="31"/>
  <c r="F86" i="31"/>
  <c r="F87" i="31"/>
  <c r="F88" i="31"/>
  <c r="F89" i="31"/>
  <c r="F90" i="31"/>
  <c r="F81" i="32"/>
  <c r="F82" i="32"/>
  <c r="F83" i="32"/>
  <c r="F84" i="32"/>
  <c r="F85" i="32"/>
  <c r="F86" i="32"/>
  <c r="F87" i="32"/>
  <c r="F88" i="32"/>
  <c r="F89" i="32"/>
  <c r="F90" i="32"/>
  <c r="F81" i="33"/>
  <c r="F82" i="33"/>
  <c r="F83" i="33"/>
  <c r="F84" i="33"/>
  <c r="F85" i="33"/>
  <c r="F86" i="33"/>
  <c r="F87" i="33"/>
  <c r="F88" i="33"/>
  <c r="F89" i="33"/>
  <c r="F90" i="33"/>
  <c r="F81" i="34"/>
  <c r="F82" i="34"/>
  <c r="F83" i="34"/>
  <c r="F84" i="34"/>
  <c r="F85" i="34"/>
  <c r="F86" i="34"/>
  <c r="F87" i="34"/>
  <c r="F88" i="34"/>
  <c r="F89" i="34"/>
  <c r="F90" i="34"/>
  <c r="F81" i="35"/>
  <c r="F82" i="35"/>
  <c r="F83" i="35"/>
  <c r="F84" i="35"/>
  <c r="F85" i="35"/>
  <c r="F86" i="35"/>
  <c r="F87" i="35"/>
  <c r="F88" i="35"/>
  <c r="F89" i="35"/>
  <c r="F90" i="35"/>
  <c r="F81" i="36"/>
  <c r="F82" i="36"/>
  <c r="F83" i="36"/>
  <c r="F84" i="36"/>
  <c r="F85" i="36"/>
  <c r="F86" i="36"/>
  <c r="F87" i="36"/>
  <c r="F88" i="36"/>
  <c r="F89" i="36"/>
  <c r="F90" i="36"/>
  <c r="F81" i="37"/>
  <c r="F82" i="37"/>
  <c r="F83" i="37"/>
  <c r="F84" i="37"/>
  <c r="F85" i="37"/>
  <c r="F86" i="37"/>
  <c r="F87" i="37"/>
  <c r="F88" i="37"/>
  <c r="F89" i="37"/>
  <c r="F90" i="37"/>
  <c r="F81" i="38"/>
  <c r="F82" i="38"/>
  <c r="F83" i="38"/>
  <c r="F84" i="38"/>
  <c r="F85" i="38"/>
  <c r="F86" i="38"/>
  <c r="F87" i="38"/>
  <c r="F88" i="38"/>
  <c r="F89" i="38"/>
  <c r="F90" i="38"/>
  <c r="F81" i="16"/>
  <c r="F82" i="16"/>
  <c r="F83" i="16"/>
  <c r="F84" i="16"/>
  <c r="F85" i="16"/>
  <c r="F86" i="16"/>
  <c r="F87" i="16"/>
  <c r="F88" i="16"/>
  <c r="F89" i="16"/>
  <c r="F90" i="16"/>
  <c r="F80" i="28"/>
  <c r="F80" i="29"/>
  <c r="F80" i="30"/>
  <c r="F80" i="31"/>
  <c r="F80" i="32"/>
  <c r="F80" i="33"/>
  <c r="F80" i="34"/>
  <c r="F80" i="35"/>
  <c r="F80" i="36"/>
  <c r="F80" i="37"/>
  <c r="F80" i="38"/>
  <c r="F80" i="16"/>
  <c r="F79" i="28"/>
  <c r="F79" i="29"/>
  <c r="F79" i="30"/>
  <c r="F79" i="31"/>
  <c r="F79" i="32"/>
  <c r="F79" i="33"/>
  <c r="F79" i="34"/>
  <c r="F79" i="35"/>
  <c r="F79" i="36"/>
  <c r="F79" i="37"/>
  <c r="F79" i="38"/>
  <c r="D6" i="6"/>
  <c r="B27" i="13" l="1"/>
  <c r="G67" i="28"/>
  <c r="G67" i="29"/>
  <c r="G67" i="30"/>
  <c r="G67" i="31"/>
  <c r="G67" i="32"/>
  <c r="G67" i="33"/>
  <c r="G67" i="34"/>
  <c r="G67" i="35"/>
  <c r="G67" i="36"/>
  <c r="G67" i="37"/>
  <c r="G67" i="38"/>
  <c r="G67" i="16"/>
  <c r="AM80" i="35"/>
  <c r="L60" i="40" s="1"/>
  <c r="AM81" i="35"/>
  <c r="L61" i="40" s="1"/>
  <c r="AM82" i="35"/>
  <c r="L62" i="40" s="1"/>
  <c r="AM83" i="35"/>
  <c r="L63" i="40" s="1"/>
  <c r="AM84" i="35"/>
  <c r="L64" i="40" s="1"/>
  <c r="AM85" i="35"/>
  <c r="L65" i="40" s="1"/>
  <c r="AM86" i="35"/>
  <c r="L66" i="40" s="1"/>
  <c r="AM87" i="35"/>
  <c r="L67" i="40" s="1"/>
  <c r="AM88" i="35"/>
  <c r="L68" i="40" s="1"/>
  <c r="AM89" i="35"/>
  <c r="L69" i="40" s="1"/>
  <c r="AM90" i="35"/>
  <c r="L70" i="40" s="1"/>
  <c r="H91" i="35"/>
  <c r="I91" i="35"/>
  <c r="J91" i="35"/>
  <c r="K91" i="35"/>
  <c r="L91" i="35"/>
  <c r="M91" i="35"/>
  <c r="N91" i="35"/>
  <c r="O91" i="35"/>
  <c r="P91" i="35"/>
  <c r="Q91" i="35"/>
  <c r="R91" i="35"/>
  <c r="S91" i="35"/>
  <c r="T91" i="35"/>
  <c r="U91" i="35"/>
  <c r="V91" i="35"/>
  <c r="W91" i="35"/>
  <c r="X91" i="35"/>
  <c r="Y91" i="35"/>
  <c r="Z91" i="35"/>
  <c r="AA91" i="35"/>
  <c r="AB91" i="35"/>
  <c r="AC91" i="35"/>
  <c r="AD91" i="35"/>
  <c r="AE91" i="35"/>
  <c r="AF91" i="35"/>
  <c r="AG91" i="35"/>
  <c r="AH91" i="35"/>
  <c r="AI91" i="35"/>
  <c r="AJ91" i="35"/>
  <c r="AK91" i="35"/>
  <c r="AL91" i="35"/>
  <c r="AM79" i="35"/>
  <c r="L59" i="40" s="1"/>
  <c r="C11" i="38"/>
  <c r="C11" i="35"/>
  <c r="H12" i="35" s="1"/>
  <c r="C11" i="16"/>
  <c r="X12" i="16" s="1"/>
  <c r="C11" i="32"/>
  <c r="J12" i="32" s="1"/>
  <c r="J9" i="32" s="1"/>
  <c r="C11" i="33"/>
  <c r="U12" i="33" s="1"/>
  <c r="C11" i="34"/>
  <c r="L12" i="34" s="1"/>
  <c r="L9" i="34" s="1"/>
  <c r="C11" i="36"/>
  <c r="L12" i="36" s="1"/>
  <c r="C11" i="37"/>
  <c r="J12" i="37" s="1"/>
  <c r="C11" i="28"/>
  <c r="M12" i="28" s="1"/>
  <c r="C11" i="29"/>
  <c r="AD12" i="29" s="1"/>
  <c r="C11" i="30"/>
  <c r="K12" i="30" s="1"/>
  <c r="C11" i="31"/>
  <c r="L12" i="31" s="1"/>
  <c r="H16" i="1"/>
  <c r="F36" i="13"/>
  <c r="G21" i="1"/>
  <c r="D21" i="1"/>
  <c r="B6" i="27"/>
  <c r="B5" i="27"/>
  <c r="D5" i="27" s="1"/>
  <c r="A14" i="6"/>
  <c r="B14" i="6" s="1"/>
  <c r="B13" i="27"/>
  <c r="B14" i="27"/>
  <c r="I14" i="27" s="1"/>
  <c r="B15" i="27"/>
  <c r="K15" i="27" s="1"/>
  <c r="B16" i="27"/>
  <c r="D16" i="27" s="1"/>
  <c r="B17" i="27"/>
  <c r="I17" i="27" s="1"/>
  <c r="I18" i="27"/>
  <c r="J18" i="27"/>
  <c r="K18" i="27"/>
  <c r="L18" i="27" s="1"/>
  <c r="I19" i="27"/>
  <c r="J19" i="27" s="1"/>
  <c r="K19" i="27"/>
  <c r="L19" i="27" s="1"/>
  <c r="I20" i="27"/>
  <c r="J20" i="27"/>
  <c r="K20" i="27"/>
  <c r="L20" i="27" s="1"/>
  <c r="I21" i="27"/>
  <c r="J21" i="27"/>
  <c r="K21" i="27"/>
  <c r="L21" i="27" s="1"/>
  <c r="D19" i="27"/>
  <c r="D20" i="27"/>
  <c r="D21" i="27"/>
  <c r="I5" i="26"/>
  <c r="K5" i="26" s="1"/>
  <c r="C31" i="40"/>
  <c r="C6" i="26"/>
  <c r="E6" i="26" s="1"/>
  <c r="C7" i="26"/>
  <c r="E7" i="26" s="1"/>
  <c r="C8" i="26"/>
  <c r="E8" i="26" s="1"/>
  <c r="C9" i="26"/>
  <c r="E9" i="26" s="1"/>
  <c r="C10" i="26"/>
  <c r="E10" i="26" s="1"/>
  <c r="C11" i="26"/>
  <c r="E11" i="26" s="1"/>
  <c r="C12" i="26"/>
  <c r="E12" i="26" s="1"/>
  <c r="C13" i="26"/>
  <c r="E13" i="26" s="1"/>
  <c r="C14" i="26"/>
  <c r="E14" i="26" s="1"/>
  <c r="C15" i="26"/>
  <c r="E15" i="26" s="1"/>
  <c r="C16" i="26"/>
  <c r="E16" i="26" s="1"/>
  <c r="C17" i="26"/>
  <c r="E17" i="26" s="1"/>
  <c r="C18" i="26"/>
  <c r="E18" i="26" s="1"/>
  <c r="C19" i="26"/>
  <c r="E19" i="26" s="1"/>
  <c r="C20" i="26"/>
  <c r="E20" i="26" s="1"/>
  <c r="C21" i="26"/>
  <c r="E21" i="26" s="1"/>
  <c r="C22" i="26"/>
  <c r="E22" i="26" s="1"/>
  <c r="C23" i="26"/>
  <c r="E23" i="26" s="1"/>
  <c r="C24" i="26"/>
  <c r="E24" i="26" s="1"/>
  <c r="C25" i="26"/>
  <c r="E25" i="26" s="1"/>
  <c r="C26" i="26"/>
  <c r="E26" i="26" s="1"/>
  <c r="C27" i="26"/>
  <c r="E27" i="26" s="1"/>
  <c r="C28" i="26"/>
  <c r="E28" i="26" s="1"/>
  <c r="C29" i="26"/>
  <c r="E29" i="26" s="1"/>
  <c r="C30" i="26"/>
  <c r="E30" i="26" s="1"/>
  <c r="C31" i="26"/>
  <c r="E31" i="26" s="1"/>
  <c r="C32" i="26"/>
  <c r="E32" i="26" s="1"/>
  <c r="C33" i="26"/>
  <c r="E33" i="26" s="1"/>
  <c r="C34" i="26"/>
  <c r="E34" i="26" s="1"/>
  <c r="C35" i="26"/>
  <c r="E35" i="26" s="1"/>
  <c r="C5" i="26"/>
  <c r="E5" i="26" s="1"/>
  <c r="B11" i="6"/>
  <c r="D10" i="6" s="1"/>
  <c r="D11" i="6" s="1"/>
  <c r="I25" i="1"/>
  <c r="H91" i="38"/>
  <c r="I91" i="38"/>
  <c r="J91" i="38"/>
  <c r="K91" i="38"/>
  <c r="L91" i="38"/>
  <c r="M91" i="38"/>
  <c r="N91" i="38"/>
  <c r="O91" i="38"/>
  <c r="P91" i="38"/>
  <c r="Q91" i="38"/>
  <c r="R91" i="38"/>
  <c r="S91" i="38"/>
  <c r="T91" i="38"/>
  <c r="U91" i="38"/>
  <c r="V91" i="38"/>
  <c r="W91" i="38"/>
  <c r="X91" i="38"/>
  <c r="Y91" i="38"/>
  <c r="Z91" i="38"/>
  <c r="AA91" i="38"/>
  <c r="AB91" i="38"/>
  <c r="AC91" i="38"/>
  <c r="AD91" i="38"/>
  <c r="AE91" i="38"/>
  <c r="AF91" i="38"/>
  <c r="AG91" i="38"/>
  <c r="AH91" i="38"/>
  <c r="AI91" i="38"/>
  <c r="AJ91" i="38"/>
  <c r="AK91" i="38"/>
  <c r="AL91" i="38"/>
  <c r="F91" i="38"/>
  <c r="AM90" i="38"/>
  <c r="O70" i="40" s="1"/>
  <c r="AM89" i="38"/>
  <c r="O69" i="40" s="1"/>
  <c r="AM88" i="38"/>
  <c r="O68" i="40" s="1"/>
  <c r="AM87" i="38"/>
  <c r="O67" i="40" s="1"/>
  <c r="AM86" i="38"/>
  <c r="O66" i="40" s="1"/>
  <c r="AM85" i="38"/>
  <c r="O65" i="40" s="1"/>
  <c r="AM84" i="38"/>
  <c r="O64" i="40" s="1"/>
  <c r="AM83" i="38"/>
  <c r="O63" i="40" s="1"/>
  <c r="AM82" i="38"/>
  <c r="O62" i="40" s="1"/>
  <c r="AM81" i="38"/>
  <c r="O61" i="40" s="1"/>
  <c r="AM80" i="38"/>
  <c r="O60" i="40" s="1"/>
  <c r="AM79" i="38"/>
  <c r="O59" i="40" s="1"/>
  <c r="G68" i="38"/>
  <c r="G66" i="38"/>
  <c r="G64" i="38"/>
  <c r="G63" i="38"/>
  <c r="G62" i="38"/>
  <c r="G61" i="38"/>
  <c r="G60" i="38"/>
  <c r="G59" i="38"/>
  <c r="G58" i="38"/>
  <c r="G57" i="38"/>
  <c r="G56" i="38"/>
  <c r="G50" i="38"/>
  <c r="G49" i="38"/>
  <c r="G48" i="38"/>
  <c r="G47" i="38"/>
  <c r="G46" i="38"/>
  <c r="G45" i="38"/>
  <c r="G44" i="38"/>
  <c r="G43" i="38"/>
  <c r="G42" i="38"/>
  <c r="B12" i="38"/>
  <c r="G22" i="1"/>
  <c r="G23" i="1"/>
  <c r="D22" i="1"/>
  <c r="E24" i="13"/>
  <c r="B11" i="1"/>
  <c r="G1" i="13"/>
  <c r="E11" i="13"/>
  <c r="C13" i="13"/>
  <c r="C12" i="13"/>
  <c r="E16" i="13"/>
  <c r="C54" i="40"/>
  <c r="H26" i="40"/>
  <c r="H25" i="40"/>
  <c r="H24" i="40"/>
  <c r="H23" i="40"/>
  <c r="H22" i="40"/>
  <c r="H21" i="40"/>
  <c r="H20" i="40"/>
  <c r="H19" i="40"/>
  <c r="H18" i="40"/>
  <c r="H91" i="31"/>
  <c r="I91" i="31"/>
  <c r="J91" i="31"/>
  <c r="K91" i="31"/>
  <c r="L91" i="31"/>
  <c r="M91" i="31"/>
  <c r="N91" i="31"/>
  <c r="O91" i="31"/>
  <c r="P91" i="31"/>
  <c r="Q91" i="31"/>
  <c r="R91" i="31"/>
  <c r="S91" i="31"/>
  <c r="T91" i="31"/>
  <c r="U91" i="31"/>
  <c r="V91" i="31"/>
  <c r="W91" i="31"/>
  <c r="X91" i="31"/>
  <c r="Y91" i="31"/>
  <c r="Z91" i="31"/>
  <c r="AA91" i="31"/>
  <c r="AB91" i="31"/>
  <c r="AC91" i="31"/>
  <c r="AD91" i="31"/>
  <c r="AE91" i="31"/>
  <c r="AF91" i="31"/>
  <c r="AG91" i="31"/>
  <c r="AH91" i="31"/>
  <c r="AI91" i="31"/>
  <c r="AJ91" i="31"/>
  <c r="AK91" i="31"/>
  <c r="AL91" i="31"/>
  <c r="AM90" i="31"/>
  <c r="H70" i="40" s="1"/>
  <c r="AM89" i="31"/>
  <c r="H69" i="40" s="1"/>
  <c r="AM88" i="31"/>
  <c r="H68" i="40" s="1"/>
  <c r="AM87" i="31"/>
  <c r="H67" i="40" s="1"/>
  <c r="AM86" i="31"/>
  <c r="H66" i="40" s="1"/>
  <c r="AM85" i="31"/>
  <c r="H65" i="40" s="1"/>
  <c r="AM84" i="31"/>
  <c r="H64" i="40" s="1"/>
  <c r="AM83" i="31"/>
  <c r="H63" i="40" s="1"/>
  <c r="AM82" i="31"/>
  <c r="H62" i="40" s="1"/>
  <c r="AM81" i="31"/>
  <c r="H61" i="40" s="1"/>
  <c r="AM80" i="31"/>
  <c r="H60" i="40" s="1"/>
  <c r="AM79" i="31"/>
  <c r="H59" i="40" s="1"/>
  <c r="N91" i="16"/>
  <c r="J91" i="16"/>
  <c r="K91" i="16"/>
  <c r="L91" i="16"/>
  <c r="M91" i="16"/>
  <c r="P91" i="16"/>
  <c r="Q91" i="16"/>
  <c r="R91" i="16"/>
  <c r="S91" i="16"/>
  <c r="T91" i="16"/>
  <c r="U91" i="16"/>
  <c r="W91" i="16"/>
  <c r="X91" i="16"/>
  <c r="Y91" i="16"/>
  <c r="Z91" i="16"/>
  <c r="AA91" i="16"/>
  <c r="AB91" i="16"/>
  <c r="AD91" i="16"/>
  <c r="AE91" i="16"/>
  <c r="AF91" i="16"/>
  <c r="AG91" i="16"/>
  <c r="AH91" i="16"/>
  <c r="AI91" i="16"/>
  <c r="AK91" i="16"/>
  <c r="AL91" i="16"/>
  <c r="I91" i="16"/>
  <c r="H91" i="16"/>
  <c r="O91" i="16"/>
  <c r="V91" i="16"/>
  <c r="AC91" i="16"/>
  <c r="AJ91" i="16"/>
  <c r="AM90" i="16"/>
  <c r="D70" i="40" s="1"/>
  <c r="AM89" i="16"/>
  <c r="D69" i="40" s="1"/>
  <c r="AM88" i="16"/>
  <c r="D68" i="40" s="1"/>
  <c r="AM87" i="16"/>
  <c r="D67" i="40" s="1"/>
  <c r="AM86" i="16"/>
  <c r="D66" i="40" s="1"/>
  <c r="AM85" i="16"/>
  <c r="D65" i="40" s="1"/>
  <c r="AM84" i="16"/>
  <c r="D64" i="40" s="1"/>
  <c r="AM83" i="16"/>
  <c r="D63" i="40" s="1"/>
  <c r="AM82" i="16"/>
  <c r="D62" i="40" s="1"/>
  <c r="AM81" i="16"/>
  <c r="D61" i="40" s="1"/>
  <c r="AM80" i="16"/>
  <c r="D60" i="40" s="1"/>
  <c r="AM79" i="16"/>
  <c r="D59" i="40" s="1"/>
  <c r="D26" i="40"/>
  <c r="D25" i="40"/>
  <c r="D24" i="40"/>
  <c r="D23" i="40"/>
  <c r="D22" i="40"/>
  <c r="D21" i="40"/>
  <c r="D20" i="40"/>
  <c r="D19" i="40"/>
  <c r="D18" i="40"/>
  <c r="H91" i="37"/>
  <c r="I91" i="37"/>
  <c r="J91" i="37"/>
  <c r="K91" i="37"/>
  <c r="L91" i="37"/>
  <c r="M91" i="37"/>
  <c r="N91" i="37"/>
  <c r="O91" i="37"/>
  <c r="P91" i="37"/>
  <c r="Q91" i="37"/>
  <c r="R91" i="37"/>
  <c r="S91" i="37"/>
  <c r="T91" i="37"/>
  <c r="U91" i="37"/>
  <c r="V91" i="37"/>
  <c r="W91" i="37"/>
  <c r="X91" i="37"/>
  <c r="Y91" i="37"/>
  <c r="Z91" i="37"/>
  <c r="AA91" i="37"/>
  <c r="AB91" i="37"/>
  <c r="AC91" i="37"/>
  <c r="AD91" i="37"/>
  <c r="AE91" i="37"/>
  <c r="AF91" i="37"/>
  <c r="AG91" i="37"/>
  <c r="AH91" i="37"/>
  <c r="AI91" i="37"/>
  <c r="AJ91" i="37"/>
  <c r="AK91" i="37"/>
  <c r="AL91" i="37"/>
  <c r="H91" i="32"/>
  <c r="I91" i="32"/>
  <c r="J91" i="32"/>
  <c r="K91" i="32"/>
  <c r="L91" i="32"/>
  <c r="M91" i="32"/>
  <c r="N91" i="32"/>
  <c r="O91" i="32"/>
  <c r="P91" i="32"/>
  <c r="Q91" i="32"/>
  <c r="R91" i="32"/>
  <c r="S91" i="32"/>
  <c r="T91" i="32"/>
  <c r="U91" i="32"/>
  <c r="V91" i="32"/>
  <c r="W91" i="32"/>
  <c r="X91" i="32"/>
  <c r="Y91" i="32"/>
  <c r="Z91" i="32"/>
  <c r="AA91" i="32"/>
  <c r="AB91" i="32"/>
  <c r="AC91" i="32"/>
  <c r="AD91" i="32"/>
  <c r="AE91" i="32"/>
  <c r="AF91" i="32"/>
  <c r="AG91" i="32"/>
  <c r="AH91" i="32"/>
  <c r="AI91" i="32"/>
  <c r="AJ91" i="32"/>
  <c r="AK91" i="32"/>
  <c r="AL91" i="32"/>
  <c r="H91" i="30"/>
  <c r="I91" i="30"/>
  <c r="J91" i="30"/>
  <c r="K91" i="30"/>
  <c r="L91" i="30"/>
  <c r="M91" i="30"/>
  <c r="N91" i="30"/>
  <c r="O91" i="30"/>
  <c r="P91" i="30"/>
  <c r="Q91" i="30"/>
  <c r="R91" i="30"/>
  <c r="S91" i="30"/>
  <c r="T91" i="30"/>
  <c r="U91" i="30"/>
  <c r="V91" i="30"/>
  <c r="W91" i="30"/>
  <c r="X91" i="30"/>
  <c r="Y91" i="30"/>
  <c r="Z91" i="30"/>
  <c r="AA91" i="30"/>
  <c r="AB91" i="30"/>
  <c r="AC91" i="30"/>
  <c r="AD91" i="30"/>
  <c r="AE91" i="30"/>
  <c r="AF91" i="30"/>
  <c r="AG91" i="30"/>
  <c r="AH91" i="30"/>
  <c r="AI91" i="30"/>
  <c r="AJ91" i="30"/>
  <c r="AK91" i="30"/>
  <c r="AL91" i="30"/>
  <c r="AM90" i="37"/>
  <c r="N70" i="40" s="1"/>
  <c r="AM90" i="32"/>
  <c r="I70" i="40" s="1"/>
  <c r="AM90" i="30"/>
  <c r="G70" i="40" s="1"/>
  <c r="AM89" i="37"/>
  <c r="N69" i="40" s="1"/>
  <c r="AM89" i="32"/>
  <c r="I69" i="40"/>
  <c r="AM89" i="30"/>
  <c r="G69" i="40" s="1"/>
  <c r="AM88" i="37"/>
  <c r="N68" i="40" s="1"/>
  <c r="AM88" i="32"/>
  <c r="I68" i="40" s="1"/>
  <c r="AM88" i="30"/>
  <c r="G68" i="40" s="1"/>
  <c r="AM87" i="37"/>
  <c r="N67" i="40" s="1"/>
  <c r="AM87" i="32"/>
  <c r="I67" i="40" s="1"/>
  <c r="AM87" i="30"/>
  <c r="G67" i="40" s="1"/>
  <c r="AM86" i="37"/>
  <c r="N66" i="40" s="1"/>
  <c r="AM86" i="32"/>
  <c r="I66" i="40" s="1"/>
  <c r="AM86" i="30"/>
  <c r="G66" i="40" s="1"/>
  <c r="AM85" i="37"/>
  <c r="N65" i="40" s="1"/>
  <c r="AM85" i="32"/>
  <c r="I65" i="40" s="1"/>
  <c r="AM85" i="30"/>
  <c r="G65" i="40" s="1"/>
  <c r="AM84" i="37"/>
  <c r="N64" i="40" s="1"/>
  <c r="AM84" i="32"/>
  <c r="I64" i="40" s="1"/>
  <c r="AM84" i="30"/>
  <c r="G64" i="40" s="1"/>
  <c r="AM83" i="37"/>
  <c r="N63" i="40" s="1"/>
  <c r="AM83" i="32"/>
  <c r="I63" i="40" s="1"/>
  <c r="AM83" i="30"/>
  <c r="G63" i="40" s="1"/>
  <c r="AM82" i="37"/>
  <c r="N62" i="40" s="1"/>
  <c r="AM82" i="32"/>
  <c r="I62" i="40" s="1"/>
  <c r="AM82" i="30"/>
  <c r="G62" i="40" s="1"/>
  <c r="AM81" i="37"/>
  <c r="N61" i="40" s="1"/>
  <c r="AM81" i="32"/>
  <c r="I61" i="40" s="1"/>
  <c r="AM81" i="30"/>
  <c r="G61" i="40" s="1"/>
  <c r="AM80" i="37"/>
  <c r="N60" i="40" s="1"/>
  <c r="AM80" i="32"/>
  <c r="I60" i="40" s="1"/>
  <c r="AM80" i="30"/>
  <c r="G60" i="40" s="1"/>
  <c r="AM79" i="37"/>
  <c r="N59" i="40" s="1"/>
  <c r="AM79" i="32"/>
  <c r="I59" i="40" s="1"/>
  <c r="AM79" i="30"/>
  <c r="G59" i="40" s="1"/>
  <c r="N26" i="40"/>
  <c r="L26" i="40"/>
  <c r="I26" i="40"/>
  <c r="G26" i="40"/>
  <c r="N25" i="40"/>
  <c r="L25" i="40"/>
  <c r="I25" i="40"/>
  <c r="G25" i="40"/>
  <c r="N24" i="40"/>
  <c r="L24" i="40"/>
  <c r="I24" i="40"/>
  <c r="G24" i="40"/>
  <c r="N23" i="40"/>
  <c r="L23" i="40"/>
  <c r="I23" i="40"/>
  <c r="G23" i="40"/>
  <c r="N22" i="40"/>
  <c r="L22" i="40"/>
  <c r="I22" i="40"/>
  <c r="G22" i="40"/>
  <c r="N21" i="40"/>
  <c r="L21" i="40"/>
  <c r="I21" i="40"/>
  <c r="G21" i="40"/>
  <c r="N20" i="40"/>
  <c r="L20" i="40"/>
  <c r="I20" i="40"/>
  <c r="G20" i="40"/>
  <c r="N19" i="40"/>
  <c r="L19" i="40"/>
  <c r="I19" i="40"/>
  <c r="G19" i="40"/>
  <c r="N18" i="40"/>
  <c r="L18" i="40"/>
  <c r="I18" i="40"/>
  <c r="G18" i="40"/>
  <c r="H91" i="28"/>
  <c r="I91" i="28"/>
  <c r="J91" i="28"/>
  <c r="K91" i="28"/>
  <c r="L91" i="28"/>
  <c r="M91" i="28"/>
  <c r="N91" i="28"/>
  <c r="O91" i="28"/>
  <c r="P91" i="28"/>
  <c r="Q91" i="28"/>
  <c r="R91" i="28"/>
  <c r="S91" i="28"/>
  <c r="T91" i="28"/>
  <c r="U91" i="28"/>
  <c r="V91" i="28"/>
  <c r="W91" i="28"/>
  <c r="X91" i="28"/>
  <c r="Y91" i="28"/>
  <c r="Z91" i="28"/>
  <c r="AA91" i="28"/>
  <c r="AB91" i="28"/>
  <c r="AC91" i="28"/>
  <c r="AD91" i="28"/>
  <c r="AE91" i="28"/>
  <c r="AF91" i="28"/>
  <c r="AG91" i="28"/>
  <c r="AH91" i="28"/>
  <c r="AI91" i="28"/>
  <c r="AJ91" i="28"/>
  <c r="AK91" i="28"/>
  <c r="AL91" i="28"/>
  <c r="AM90" i="28"/>
  <c r="E70" i="40" s="1"/>
  <c r="AM89" i="28"/>
  <c r="E69" i="40" s="1"/>
  <c r="AM88" i="28"/>
  <c r="E68" i="40" s="1"/>
  <c r="AM87" i="28"/>
  <c r="E67" i="40" s="1"/>
  <c r="AM86" i="28"/>
  <c r="E66" i="40" s="1"/>
  <c r="AM85" i="28"/>
  <c r="E65" i="40" s="1"/>
  <c r="AM84" i="28"/>
  <c r="E64" i="40" s="1"/>
  <c r="AM83" i="28"/>
  <c r="E63" i="40" s="1"/>
  <c r="AM82" i="28"/>
  <c r="E62" i="40" s="1"/>
  <c r="AM81" i="28"/>
  <c r="E61" i="40" s="1"/>
  <c r="AM80" i="28"/>
  <c r="E60" i="40" s="1"/>
  <c r="AM79" i="28"/>
  <c r="E59" i="40" s="1"/>
  <c r="E26" i="40"/>
  <c r="E25" i="40"/>
  <c r="E24" i="40"/>
  <c r="E23" i="40"/>
  <c r="E22" i="40"/>
  <c r="E21" i="40"/>
  <c r="E20" i="40"/>
  <c r="E19" i="40"/>
  <c r="E18" i="40"/>
  <c r="F91" i="37"/>
  <c r="G68" i="37"/>
  <c r="G66" i="37"/>
  <c r="G64" i="37"/>
  <c r="G63" i="37"/>
  <c r="G62" i="37"/>
  <c r="G61" i="37"/>
  <c r="G60" i="37"/>
  <c r="G59" i="37"/>
  <c r="G58" i="37"/>
  <c r="G57" i="37"/>
  <c r="G56" i="37"/>
  <c r="G50" i="37"/>
  <c r="G49" i="37"/>
  <c r="G48" i="37"/>
  <c r="G47" i="37"/>
  <c r="G46" i="37"/>
  <c r="G45" i="37"/>
  <c r="G44" i="37"/>
  <c r="G43" i="37"/>
  <c r="G42" i="37"/>
  <c r="B12" i="37"/>
  <c r="H91" i="36"/>
  <c r="I91" i="36"/>
  <c r="J91" i="36"/>
  <c r="K91" i="36"/>
  <c r="L91" i="36"/>
  <c r="M91" i="36"/>
  <c r="N91" i="36"/>
  <c r="O91" i="36"/>
  <c r="P91" i="36"/>
  <c r="Q91" i="36"/>
  <c r="R91" i="36"/>
  <c r="S91" i="36"/>
  <c r="T91" i="36"/>
  <c r="U91" i="36"/>
  <c r="V91" i="36"/>
  <c r="W91" i="36"/>
  <c r="X91" i="36"/>
  <c r="Y91" i="36"/>
  <c r="Z91" i="36"/>
  <c r="AA91" i="36"/>
  <c r="AB91" i="36"/>
  <c r="AC91" i="36"/>
  <c r="AD91" i="36"/>
  <c r="AE91" i="36"/>
  <c r="AF91" i="36"/>
  <c r="AG91" i="36"/>
  <c r="AH91" i="36"/>
  <c r="AI91" i="36"/>
  <c r="AJ91" i="36"/>
  <c r="AK91" i="36"/>
  <c r="AL91" i="36"/>
  <c r="F91" i="36"/>
  <c r="AM90" i="36"/>
  <c r="M70" i="40" s="1"/>
  <c r="AM89" i="36"/>
  <c r="M69" i="40" s="1"/>
  <c r="AM88" i="36"/>
  <c r="M68" i="40" s="1"/>
  <c r="AM87" i="36"/>
  <c r="M67" i="40" s="1"/>
  <c r="AM86" i="36"/>
  <c r="M66" i="40" s="1"/>
  <c r="AM85" i="36"/>
  <c r="M65" i="40" s="1"/>
  <c r="AM84" i="36"/>
  <c r="M64" i="40" s="1"/>
  <c r="AM83" i="36"/>
  <c r="M63" i="40" s="1"/>
  <c r="AM82" i="36"/>
  <c r="M62" i="40" s="1"/>
  <c r="AM81" i="36"/>
  <c r="M61" i="40" s="1"/>
  <c r="AM80" i="36"/>
  <c r="M60" i="40" s="1"/>
  <c r="AM79" i="36"/>
  <c r="M59" i="40" s="1"/>
  <c r="G68" i="36"/>
  <c r="G66" i="36"/>
  <c r="G64" i="36"/>
  <c r="G63" i="36"/>
  <c r="G62" i="36"/>
  <c r="G61" i="36"/>
  <c r="G60" i="36"/>
  <c r="G59" i="36"/>
  <c r="G58" i="36"/>
  <c r="G57" i="36"/>
  <c r="G56" i="36"/>
  <c r="G50" i="36"/>
  <c r="G49" i="36"/>
  <c r="G48" i="36"/>
  <c r="G47" i="36"/>
  <c r="G46" i="36"/>
  <c r="G45" i="36"/>
  <c r="G44" i="36"/>
  <c r="G43" i="36"/>
  <c r="G42" i="36"/>
  <c r="B12" i="36"/>
  <c r="F91" i="35"/>
  <c r="G68" i="35"/>
  <c r="G66" i="35"/>
  <c r="G64" i="35"/>
  <c r="G63" i="35"/>
  <c r="G62" i="35"/>
  <c r="G61" i="35"/>
  <c r="G60" i="35"/>
  <c r="G59" i="35"/>
  <c r="G58" i="35"/>
  <c r="G57" i="35"/>
  <c r="G56" i="35"/>
  <c r="G50" i="35"/>
  <c r="G49" i="35"/>
  <c r="G48" i="35"/>
  <c r="G47" i="35"/>
  <c r="G46" i="35"/>
  <c r="G45" i="35"/>
  <c r="G44" i="35"/>
  <c r="G43" i="35"/>
  <c r="G42" i="35"/>
  <c r="B12" i="35"/>
  <c r="H91" i="34"/>
  <c r="I91" i="34"/>
  <c r="J91" i="34"/>
  <c r="K91" i="34"/>
  <c r="L91" i="34"/>
  <c r="M91" i="34"/>
  <c r="N91" i="34"/>
  <c r="O91" i="34"/>
  <c r="P91" i="34"/>
  <c r="Q91" i="34"/>
  <c r="R91" i="34"/>
  <c r="S91" i="34"/>
  <c r="T91" i="34"/>
  <c r="U91" i="34"/>
  <c r="V91" i="34"/>
  <c r="W91" i="34"/>
  <c r="X91" i="34"/>
  <c r="Y91" i="34"/>
  <c r="Z91" i="34"/>
  <c r="AA91" i="34"/>
  <c r="AB91" i="34"/>
  <c r="AC91" i="34"/>
  <c r="AD91" i="34"/>
  <c r="AE91" i="34"/>
  <c r="AF91" i="34"/>
  <c r="AG91" i="34"/>
  <c r="AH91" i="34"/>
  <c r="AI91" i="34"/>
  <c r="AJ91" i="34"/>
  <c r="AK91" i="34"/>
  <c r="AL91" i="34"/>
  <c r="F91" i="34"/>
  <c r="AM90" i="34"/>
  <c r="K70" i="40" s="1"/>
  <c r="AM89" i="34"/>
  <c r="K69" i="40" s="1"/>
  <c r="AM88" i="34"/>
  <c r="K68" i="40" s="1"/>
  <c r="AM87" i="34"/>
  <c r="K67" i="40" s="1"/>
  <c r="AM86" i="34"/>
  <c r="K66" i="40" s="1"/>
  <c r="AM85" i="34"/>
  <c r="K65" i="40" s="1"/>
  <c r="AM84" i="34"/>
  <c r="K64" i="40" s="1"/>
  <c r="AM83" i="34"/>
  <c r="K63" i="40" s="1"/>
  <c r="AM82" i="34"/>
  <c r="K62" i="40" s="1"/>
  <c r="AM81" i="34"/>
  <c r="K61" i="40" s="1"/>
  <c r="AM80" i="34"/>
  <c r="K60" i="40" s="1"/>
  <c r="AM79" i="34"/>
  <c r="K59" i="40" s="1"/>
  <c r="G68" i="34"/>
  <c r="G66" i="34"/>
  <c r="G64" i="34"/>
  <c r="G63" i="34"/>
  <c r="G62" i="34"/>
  <c r="G61" i="34"/>
  <c r="G60" i="34"/>
  <c r="G59" i="34"/>
  <c r="G58" i="34"/>
  <c r="G57" i="34"/>
  <c r="G56" i="34"/>
  <c r="G50" i="34"/>
  <c r="G49" i="34"/>
  <c r="G48" i="34"/>
  <c r="G47" i="34"/>
  <c r="G46" i="34"/>
  <c r="G45" i="34"/>
  <c r="G44" i="34"/>
  <c r="G43" i="34"/>
  <c r="G42" i="34"/>
  <c r="B12" i="34"/>
  <c r="H91" i="33"/>
  <c r="I91" i="33"/>
  <c r="J91" i="33"/>
  <c r="K91" i="33"/>
  <c r="L91" i="33"/>
  <c r="M91" i="33"/>
  <c r="N91" i="33"/>
  <c r="O91" i="33"/>
  <c r="P91" i="33"/>
  <c r="Q91" i="33"/>
  <c r="R91" i="33"/>
  <c r="S91" i="33"/>
  <c r="T91" i="33"/>
  <c r="U91" i="33"/>
  <c r="V91" i="33"/>
  <c r="W91" i="33"/>
  <c r="X91" i="33"/>
  <c r="Y91" i="33"/>
  <c r="Z91" i="33"/>
  <c r="AA91" i="33"/>
  <c r="AB91" i="33"/>
  <c r="AC91" i="33"/>
  <c r="AD91" i="33"/>
  <c r="AE91" i="33"/>
  <c r="AF91" i="33"/>
  <c r="AG91" i="33"/>
  <c r="AH91" i="33"/>
  <c r="AI91" i="33"/>
  <c r="AJ91" i="33"/>
  <c r="AK91" i="33"/>
  <c r="AL91" i="33"/>
  <c r="F91" i="33"/>
  <c r="AM90" i="33"/>
  <c r="J70" i="40" s="1"/>
  <c r="AM89" i="33"/>
  <c r="J69" i="40" s="1"/>
  <c r="AM88" i="33"/>
  <c r="J68" i="40" s="1"/>
  <c r="AM87" i="33"/>
  <c r="J67" i="40" s="1"/>
  <c r="AM86" i="33"/>
  <c r="J66" i="40" s="1"/>
  <c r="AM85" i="33"/>
  <c r="J65" i="40" s="1"/>
  <c r="AM84" i="33"/>
  <c r="J64" i="40" s="1"/>
  <c r="AM83" i="33"/>
  <c r="J63" i="40" s="1"/>
  <c r="AM82" i="33"/>
  <c r="J62" i="40" s="1"/>
  <c r="AM81" i="33"/>
  <c r="J61" i="40" s="1"/>
  <c r="AM80" i="33"/>
  <c r="J60" i="40" s="1"/>
  <c r="AM79" i="33"/>
  <c r="J59" i="40" s="1"/>
  <c r="G68" i="33"/>
  <c r="G66" i="33"/>
  <c r="G64" i="33"/>
  <c r="G63" i="33"/>
  <c r="G62" i="33"/>
  <c r="G61" i="33"/>
  <c r="G60" i="33"/>
  <c r="G59" i="33"/>
  <c r="G58" i="33"/>
  <c r="G57" i="33"/>
  <c r="G56" i="33"/>
  <c r="G50" i="33"/>
  <c r="G49" i="33"/>
  <c r="G48" i="33"/>
  <c r="G47" i="33"/>
  <c r="G46" i="33"/>
  <c r="G45" i="33"/>
  <c r="G44" i="33"/>
  <c r="G43" i="33"/>
  <c r="G42" i="33"/>
  <c r="B12" i="33"/>
  <c r="F91" i="32"/>
  <c r="G68" i="32"/>
  <c r="G66" i="32"/>
  <c r="G64" i="32"/>
  <c r="G63" i="32"/>
  <c r="G62" i="32"/>
  <c r="G61" i="32"/>
  <c r="G60" i="32"/>
  <c r="G59" i="32"/>
  <c r="G58" i="32"/>
  <c r="G57" i="32"/>
  <c r="G56" i="32"/>
  <c r="G50" i="32"/>
  <c r="G49" i="32"/>
  <c r="G48" i="32"/>
  <c r="G47" i="32"/>
  <c r="G46" i="32"/>
  <c r="G45" i="32"/>
  <c r="G44" i="32"/>
  <c r="G43" i="32"/>
  <c r="G42" i="32"/>
  <c r="B12" i="32"/>
  <c r="F91" i="31"/>
  <c r="G68" i="31"/>
  <c r="G66" i="31"/>
  <c r="G64" i="31"/>
  <c r="G63" i="31"/>
  <c r="G62" i="31"/>
  <c r="G61" i="31"/>
  <c r="G60" i="31"/>
  <c r="G59" i="31"/>
  <c r="G58" i="31"/>
  <c r="G57" i="31"/>
  <c r="G56" i="31"/>
  <c r="G50" i="31"/>
  <c r="G49" i="31"/>
  <c r="G48" i="31"/>
  <c r="G47" i="31"/>
  <c r="G46" i="31"/>
  <c r="G45" i="31"/>
  <c r="G44" i="31"/>
  <c r="G43" i="31"/>
  <c r="G42" i="31"/>
  <c r="B12" i="31"/>
  <c r="F91" i="30"/>
  <c r="G68" i="30"/>
  <c r="G66" i="30"/>
  <c r="G64" i="30"/>
  <c r="G63" i="30"/>
  <c r="G62" i="30"/>
  <c r="G61" i="30"/>
  <c r="G60" i="30"/>
  <c r="G59" i="30"/>
  <c r="G58" i="30"/>
  <c r="G57" i="30"/>
  <c r="G56" i="30"/>
  <c r="G50" i="30"/>
  <c r="G49" i="30"/>
  <c r="G48" i="30"/>
  <c r="G47" i="30"/>
  <c r="G46" i="30"/>
  <c r="G45" i="30"/>
  <c r="G44" i="30"/>
  <c r="G43" i="30"/>
  <c r="G42" i="30"/>
  <c r="B12" i="30"/>
  <c r="H91" i="29"/>
  <c r="I91" i="29"/>
  <c r="J91" i="29"/>
  <c r="K91" i="29"/>
  <c r="L91" i="29"/>
  <c r="M91" i="29"/>
  <c r="N91" i="29"/>
  <c r="O91" i="29"/>
  <c r="P91" i="29"/>
  <c r="Q91" i="29"/>
  <c r="R91" i="29"/>
  <c r="S91" i="29"/>
  <c r="T91" i="29"/>
  <c r="U91" i="29"/>
  <c r="V91" i="29"/>
  <c r="W91" i="29"/>
  <c r="X91" i="29"/>
  <c r="Y91" i="29"/>
  <c r="Z91" i="29"/>
  <c r="AA91" i="29"/>
  <c r="AB91" i="29"/>
  <c r="AC91" i="29"/>
  <c r="AD91" i="29"/>
  <c r="AE91" i="29"/>
  <c r="AF91" i="29"/>
  <c r="AG91" i="29"/>
  <c r="AH91" i="29"/>
  <c r="AI91" i="29"/>
  <c r="AJ91" i="29"/>
  <c r="AK91" i="29"/>
  <c r="AL91" i="29"/>
  <c r="F91" i="29"/>
  <c r="AM90" i="29"/>
  <c r="F70" i="40" s="1"/>
  <c r="AM89" i="29"/>
  <c r="F69" i="40" s="1"/>
  <c r="AM88" i="29"/>
  <c r="F68" i="40" s="1"/>
  <c r="AM87" i="29"/>
  <c r="F67" i="40" s="1"/>
  <c r="AM86" i="29"/>
  <c r="F66" i="40" s="1"/>
  <c r="AM85" i="29"/>
  <c r="F65" i="40" s="1"/>
  <c r="AM84" i="29"/>
  <c r="F64" i="40" s="1"/>
  <c r="AM83" i="29"/>
  <c r="F63" i="40" s="1"/>
  <c r="AM82" i="29"/>
  <c r="F62" i="40" s="1"/>
  <c r="AM81" i="29"/>
  <c r="F61" i="40" s="1"/>
  <c r="AM80" i="29"/>
  <c r="F60" i="40" s="1"/>
  <c r="AM79" i="29"/>
  <c r="F59" i="40" s="1"/>
  <c r="G68" i="29"/>
  <c r="G66" i="29"/>
  <c r="G64" i="29"/>
  <c r="G63" i="29"/>
  <c r="G62" i="29"/>
  <c r="G61" i="29"/>
  <c r="G60" i="29"/>
  <c r="G59" i="29"/>
  <c r="G58" i="29"/>
  <c r="G57" i="29"/>
  <c r="G56" i="29"/>
  <c r="G50" i="29"/>
  <c r="G49" i="29"/>
  <c r="G48" i="29"/>
  <c r="G47" i="29"/>
  <c r="G46" i="29"/>
  <c r="G45" i="29"/>
  <c r="G44" i="29"/>
  <c r="G43" i="29"/>
  <c r="G42" i="29"/>
  <c r="B12" i="29"/>
  <c r="F91" i="28"/>
  <c r="G68" i="28"/>
  <c r="G66" i="28"/>
  <c r="G64" i="28"/>
  <c r="G63" i="28"/>
  <c r="G62" i="28"/>
  <c r="G61" i="28"/>
  <c r="G60" i="28"/>
  <c r="G59" i="28"/>
  <c r="G58" i="28"/>
  <c r="G57" i="28"/>
  <c r="G56" i="28"/>
  <c r="G50" i="28"/>
  <c r="G49" i="28"/>
  <c r="G48" i="28"/>
  <c r="G47" i="28"/>
  <c r="G46" i="28"/>
  <c r="G45" i="28"/>
  <c r="G44" i="28"/>
  <c r="G43" i="28"/>
  <c r="G42" i="28"/>
  <c r="B12" i="28"/>
  <c r="G68" i="16"/>
  <c r="AL38" i="26" a="1"/>
  <c r="AL38" i="26" s="1"/>
  <c r="AF38" i="26" a="1"/>
  <c r="AF38" i="26" s="1"/>
  <c r="Z38" i="26" a="1"/>
  <c r="Z38" i="26" s="1"/>
  <c r="T38" i="26" a="1"/>
  <c r="T38" i="26" s="1"/>
  <c r="N38" i="26" a="1"/>
  <c r="N38" i="26" s="1"/>
  <c r="H38" i="26" a="1"/>
  <c r="H38" i="26" s="1"/>
  <c r="AL5" i="26" a="1"/>
  <c r="AL5" i="26" s="1"/>
  <c r="C38" i="26"/>
  <c r="E38" i="26" s="1"/>
  <c r="AG6" i="26"/>
  <c r="AI6" i="26" s="1"/>
  <c r="AG7" i="26"/>
  <c r="AI7" i="26" s="1"/>
  <c r="AG8" i="26"/>
  <c r="AI8" i="26" s="1"/>
  <c r="AG9" i="26"/>
  <c r="AI9" i="26" s="1"/>
  <c r="AG10" i="26"/>
  <c r="AI10" i="26" s="1"/>
  <c r="AG11" i="26"/>
  <c r="AI11" i="26" s="1"/>
  <c r="AG12" i="26"/>
  <c r="AI12" i="26" s="1"/>
  <c r="AG13" i="26"/>
  <c r="AI13" i="26" s="1"/>
  <c r="AG14" i="26"/>
  <c r="AI14" i="26" s="1"/>
  <c r="AG15" i="26"/>
  <c r="AI15" i="26" s="1"/>
  <c r="AG16" i="26"/>
  <c r="AI16" i="26" s="1"/>
  <c r="AG17" i="26"/>
  <c r="AI17" i="26" s="1"/>
  <c r="AG18" i="26"/>
  <c r="AI18" i="26" s="1"/>
  <c r="AG19" i="26"/>
  <c r="AI19" i="26" s="1"/>
  <c r="AG20" i="26"/>
  <c r="AI20" i="26" s="1"/>
  <c r="AG21" i="26"/>
  <c r="AI21" i="26" s="1"/>
  <c r="AG22" i="26"/>
  <c r="AI22" i="26" s="1"/>
  <c r="AG23" i="26"/>
  <c r="AI23" i="26" s="1"/>
  <c r="AG24" i="26"/>
  <c r="AI24" i="26" s="1"/>
  <c r="AG25" i="26"/>
  <c r="AI25" i="26" s="1"/>
  <c r="AG26" i="26"/>
  <c r="AI26" i="26" s="1"/>
  <c r="AG27" i="26"/>
  <c r="AI27" i="26" s="1"/>
  <c r="AG28" i="26"/>
  <c r="AI28" i="26" s="1"/>
  <c r="AG29" i="26"/>
  <c r="AI29" i="26" s="1"/>
  <c r="AG30" i="26"/>
  <c r="AI30" i="26" s="1"/>
  <c r="AG31" i="26"/>
  <c r="AI31" i="26" s="1"/>
  <c r="AG32" i="26"/>
  <c r="AI32" i="26" s="1"/>
  <c r="AG33" i="26"/>
  <c r="AI33" i="26" s="1"/>
  <c r="AG34" i="26"/>
  <c r="AI34" i="26" s="1"/>
  <c r="AG5" i="26"/>
  <c r="AI5" i="26" s="1"/>
  <c r="AF5" i="26" a="1"/>
  <c r="AF5" i="26" s="1"/>
  <c r="Z5" i="26" a="1"/>
  <c r="Z5" i="26" s="1"/>
  <c r="N5" i="26" a="1"/>
  <c r="N5" i="26" s="1"/>
  <c r="O5" i="26"/>
  <c r="Q5" i="26" s="1"/>
  <c r="O6" i="26"/>
  <c r="Q6" i="26" s="1"/>
  <c r="O7" i="26"/>
  <c r="Q7" i="26" s="1"/>
  <c r="O8" i="26"/>
  <c r="Q8" i="26" s="1"/>
  <c r="O9" i="26"/>
  <c r="Q9" i="26" s="1"/>
  <c r="O10" i="26"/>
  <c r="Q10" i="26" s="1"/>
  <c r="O11" i="26"/>
  <c r="Q11" i="26" s="1"/>
  <c r="O12" i="26"/>
  <c r="Q12" i="26" s="1"/>
  <c r="O13" i="26"/>
  <c r="Q13" i="26" s="1"/>
  <c r="O14" i="26"/>
  <c r="Q14" i="26" s="1"/>
  <c r="O15" i="26"/>
  <c r="Q15" i="26" s="1"/>
  <c r="O16" i="26"/>
  <c r="Q16" i="26" s="1"/>
  <c r="O17" i="26"/>
  <c r="Q17" i="26" s="1"/>
  <c r="O18" i="26"/>
  <c r="Q18" i="26" s="1"/>
  <c r="O19" i="26"/>
  <c r="Q19" i="26" s="1"/>
  <c r="O20" i="26"/>
  <c r="Q20" i="26" s="1"/>
  <c r="O21" i="26"/>
  <c r="Q21" i="26" s="1"/>
  <c r="O22" i="26"/>
  <c r="Q22" i="26" s="1"/>
  <c r="O23" i="26"/>
  <c r="Q23" i="26" s="1"/>
  <c r="O24" i="26"/>
  <c r="Q24" i="26" s="1"/>
  <c r="O25" i="26"/>
  <c r="Q25" i="26" s="1"/>
  <c r="O26" i="26"/>
  <c r="Q26" i="26" s="1"/>
  <c r="O27" i="26"/>
  <c r="Q27" i="26" s="1"/>
  <c r="O28" i="26"/>
  <c r="Q28" i="26" s="1"/>
  <c r="O29" i="26"/>
  <c r="Q29" i="26" s="1"/>
  <c r="O30" i="26"/>
  <c r="Q30" i="26" s="1"/>
  <c r="O31" i="26"/>
  <c r="Q31" i="26" s="1"/>
  <c r="O32" i="26"/>
  <c r="Q32" i="26" s="1"/>
  <c r="O33" i="26"/>
  <c r="Q33" i="26" s="1"/>
  <c r="O34" i="26"/>
  <c r="Q34" i="26" s="1"/>
  <c r="O35" i="26"/>
  <c r="Q35" i="26" s="1"/>
  <c r="AG39" i="26"/>
  <c r="AI39" i="26" s="1"/>
  <c r="AG40" i="26"/>
  <c r="AI40" i="26" s="1"/>
  <c r="AG41" i="26"/>
  <c r="AI41" i="26" s="1"/>
  <c r="AG42" i="26"/>
  <c r="AI42" i="26" s="1"/>
  <c r="AG43" i="26"/>
  <c r="AI43" i="26" s="1"/>
  <c r="AG44" i="26"/>
  <c r="AI44" i="26" s="1"/>
  <c r="AG45" i="26"/>
  <c r="AI45" i="26" s="1"/>
  <c r="AG46" i="26"/>
  <c r="AI46" i="26" s="1"/>
  <c r="AG47" i="26"/>
  <c r="AI47" i="26" s="1"/>
  <c r="AG48" i="26"/>
  <c r="AI48" i="26" s="1"/>
  <c r="AG49" i="26"/>
  <c r="AI49" i="26" s="1"/>
  <c r="AG50" i="26"/>
  <c r="AI50" i="26" s="1"/>
  <c r="AG51" i="26"/>
  <c r="AI51" i="26" s="1"/>
  <c r="AG52" i="26"/>
  <c r="AI52" i="26" s="1"/>
  <c r="AG53" i="26"/>
  <c r="AI53" i="26" s="1"/>
  <c r="AG54" i="26"/>
  <c r="AI54" i="26" s="1"/>
  <c r="AG55" i="26"/>
  <c r="AI55" i="26" s="1"/>
  <c r="AG56" i="26"/>
  <c r="AI56" i="26" s="1"/>
  <c r="AG57" i="26"/>
  <c r="AI57" i="26" s="1"/>
  <c r="AG58" i="26"/>
  <c r="AI58" i="26" s="1"/>
  <c r="AG59" i="26"/>
  <c r="AI59" i="26" s="1"/>
  <c r="AG60" i="26"/>
  <c r="AI60" i="26" s="1"/>
  <c r="AG61" i="26"/>
  <c r="AI61" i="26" s="1"/>
  <c r="AG62" i="26"/>
  <c r="AI62" i="26" s="1"/>
  <c r="AG63" i="26"/>
  <c r="AI63" i="26" s="1"/>
  <c r="AG64" i="26"/>
  <c r="AI64" i="26" s="1"/>
  <c r="AG65" i="26"/>
  <c r="AI65" i="26" s="1"/>
  <c r="AG66" i="26"/>
  <c r="AI66" i="26" s="1"/>
  <c r="AG67" i="26"/>
  <c r="AI67" i="26" s="1"/>
  <c r="AG68" i="26"/>
  <c r="AI68" i="26" s="1"/>
  <c r="AG38" i="26"/>
  <c r="AI38" i="26" s="1"/>
  <c r="AA39" i="26"/>
  <c r="AC39" i="26" s="1"/>
  <c r="AA40" i="26"/>
  <c r="AC40" i="26" s="1"/>
  <c r="AA41" i="26"/>
  <c r="AC41" i="26" s="1"/>
  <c r="AA42" i="26"/>
  <c r="AC42" i="26" s="1"/>
  <c r="AA43" i="26"/>
  <c r="AC43" i="26" s="1"/>
  <c r="AA44" i="26"/>
  <c r="AC44" i="26" s="1"/>
  <c r="AA45" i="26"/>
  <c r="AC45" i="26" s="1"/>
  <c r="AA46" i="26"/>
  <c r="AC46" i="26" s="1"/>
  <c r="AA47" i="26"/>
  <c r="AC47" i="26" s="1"/>
  <c r="AA48" i="26"/>
  <c r="AC48" i="26" s="1"/>
  <c r="AA49" i="26"/>
  <c r="AC49" i="26" s="1"/>
  <c r="AA50" i="26"/>
  <c r="AC50" i="26" s="1"/>
  <c r="AA51" i="26"/>
  <c r="AC51" i="26" s="1"/>
  <c r="AA52" i="26"/>
  <c r="AC52" i="26" s="1"/>
  <c r="AA53" i="26"/>
  <c r="AC53" i="26" s="1"/>
  <c r="AA54" i="26"/>
  <c r="AC54" i="26" s="1"/>
  <c r="AA55" i="26"/>
  <c r="AC55" i="26" s="1"/>
  <c r="AA56" i="26"/>
  <c r="AC56" i="26" s="1"/>
  <c r="AA57" i="26"/>
  <c r="AC57" i="26" s="1"/>
  <c r="AA58" i="26"/>
  <c r="AC58" i="26" s="1"/>
  <c r="AA59" i="26"/>
  <c r="AC59" i="26" s="1"/>
  <c r="AA60" i="26"/>
  <c r="AC60" i="26" s="1"/>
  <c r="AA61" i="26"/>
  <c r="AC61" i="26" s="1"/>
  <c r="AA62" i="26"/>
  <c r="AC62" i="26" s="1"/>
  <c r="AA63" i="26"/>
  <c r="AC63" i="26" s="1"/>
  <c r="AA64" i="26"/>
  <c r="AC64" i="26" s="1"/>
  <c r="AA65" i="26"/>
  <c r="AC65" i="26" s="1"/>
  <c r="AA66" i="26"/>
  <c r="AC66" i="26" s="1"/>
  <c r="AA67" i="26"/>
  <c r="AC67" i="26" s="1"/>
  <c r="AA38" i="26"/>
  <c r="AC38" i="26" s="1"/>
  <c r="U39" i="26"/>
  <c r="W39" i="26" s="1"/>
  <c r="U40" i="26"/>
  <c r="W40" i="26" s="1"/>
  <c r="U41" i="26"/>
  <c r="W41" i="26" s="1"/>
  <c r="U42" i="26"/>
  <c r="W42" i="26" s="1"/>
  <c r="U43" i="26"/>
  <c r="W43" i="26" s="1"/>
  <c r="U44" i="26"/>
  <c r="W44" i="26" s="1"/>
  <c r="U45" i="26"/>
  <c r="W45" i="26" s="1"/>
  <c r="U46" i="26"/>
  <c r="W46" i="26" s="1"/>
  <c r="U47" i="26"/>
  <c r="W47" i="26" s="1"/>
  <c r="U48" i="26"/>
  <c r="W48" i="26" s="1"/>
  <c r="U49" i="26"/>
  <c r="W49" i="26" s="1"/>
  <c r="U50" i="26"/>
  <c r="W50" i="26" s="1"/>
  <c r="U51" i="26"/>
  <c r="W51" i="26" s="1"/>
  <c r="U52" i="26"/>
  <c r="W52" i="26" s="1"/>
  <c r="U53" i="26"/>
  <c r="W53" i="26" s="1"/>
  <c r="U54" i="26"/>
  <c r="W54" i="26" s="1"/>
  <c r="U55" i="26"/>
  <c r="W55" i="26" s="1"/>
  <c r="U56" i="26"/>
  <c r="W56" i="26" s="1"/>
  <c r="U57" i="26"/>
  <c r="W57" i="26" s="1"/>
  <c r="U58" i="26"/>
  <c r="W58" i="26" s="1"/>
  <c r="U59" i="26"/>
  <c r="W59" i="26" s="1"/>
  <c r="U60" i="26"/>
  <c r="W60" i="26" s="1"/>
  <c r="U61" i="26"/>
  <c r="W61" i="26" s="1"/>
  <c r="U62" i="26"/>
  <c r="W62" i="26" s="1"/>
  <c r="U63" i="26"/>
  <c r="W63" i="26" s="1"/>
  <c r="U64" i="26"/>
  <c r="W64" i="26" s="1"/>
  <c r="U65" i="26"/>
  <c r="W65" i="26" s="1"/>
  <c r="U66" i="26"/>
  <c r="W66" i="26" s="1"/>
  <c r="U67" i="26"/>
  <c r="W67" i="26" s="1"/>
  <c r="U68" i="26"/>
  <c r="W68" i="26" s="1"/>
  <c r="U38" i="26"/>
  <c r="W38" i="26" s="1"/>
  <c r="U34" i="26"/>
  <c r="W34" i="26" s="1"/>
  <c r="U33" i="26"/>
  <c r="W33" i="26" s="1"/>
  <c r="U32" i="26"/>
  <c r="W32" i="26" s="1"/>
  <c r="U31" i="26"/>
  <c r="W31" i="26" s="1"/>
  <c r="U30" i="26"/>
  <c r="W30" i="26" s="1"/>
  <c r="U29" i="26"/>
  <c r="W29" i="26" s="1"/>
  <c r="U28" i="26"/>
  <c r="W28" i="26" s="1"/>
  <c r="U27" i="26"/>
  <c r="W27" i="26" s="1"/>
  <c r="U26" i="26"/>
  <c r="W26" i="26" s="1"/>
  <c r="U25" i="26"/>
  <c r="W25" i="26" s="1"/>
  <c r="U24" i="26"/>
  <c r="W24" i="26" s="1"/>
  <c r="U23" i="26"/>
  <c r="W23" i="26" s="1"/>
  <c r="U22" i="26"/>
  <c r="W22" i="26" s="1"/>
  <c r="U21" i="26"/>
  <c r="W21" i="26" s="1"/>
  <c r="U20" i="26"/>
  <c r="W20" i="26" s="1"/>
  <c r="U19" i="26"/>
  <c r="W19" i="26" s="1"/>
  <c r="U18" i="26"/>
  <c r="W18" i="26" s="1"/>
  <c r="U17" i="26"/>
  <c r="W17" i="26" s="1"/>
  <c r="U16" i="26"/>
  <c r="W16" i="26" s="1"/>
  <c r="U15" i="26"/>
  <c r="W15" i="26" s="1"/>
  <c r="U14" i="26"/>
  <c r="W14" i="26" s="1"/>
  <c r="U13" i="26"/>
  <c r="W13" i="26" s="1"/>
  <c r="U12" i="26"/>
  <c r="W12" i="26" s="1"/>
  <c r="U11" i="26"/>
  <c r="W11" i="26" s="1"/>
  <c r="U10" i="26"/>
  <c r="W10" i="26" s="1"/>
  <c r="U9" i="26"/>
  <c r="W9" i="26" s="1"/>
  <c r="U8" i="26"/>
  <c r="W8" i="26" s="1"/>
  <c r="U7" i="26"/>
  <c r="W7" i="26" s="1"/>
  <c r="U6" i="26"/>
  <c r="W6" i="26" s="1"/>
  <c r="U5" i="26"/>
  <c r="W5" i="26" s="1"/>
  <c r="O39" i="26"/>
  <c r="Q39" i="26" s="1"/>
  <c r="O40" i="26"/>
  <c r="Q40" i="26" s="1"/>
  <c r="O41" i="26"/>
  <c r="Q41" i="26" s="1"/>
  <c r="O42" i="26"/>
  <c r="Q42" i="26" s="1"/>
  <c r="O43" i="26"/>
  <c r="Q43" i="26" s="1"/>
  <c r="O44" i="26"/>
  <c r="Q44" i="26" s="1"/>
  <c r="O45" i="26"/>
  <c r="Q45" i="26" s="1"/>
  <c r="O46" i="26"/>
  <c r="Q46" i="26" s="1"/>
  <c r="O47" i="26"/>
  <c r="Q47" i="26" s="1"/>
  <c r="O48" i="26"/>
  <c r="Q48" i="26" s="1"/>
  <c r="O49" i="26"/>
  <c r="Q49" i="26" s="1"/>
  <c r="O50" i="26"/>
  <c r="Q50" i="26" s="1"/>
  <c r="O51" i="26"/>
  <c r="Q51" i="26" s="1"/>
  <c r="O52" i="26"/>
  <c r="Q52" i="26" s="1"/>
  <c r="O53" i="26"/>
  <c r="Q53" i="26" s="1"/>
  <c r="O54" i="26"/>
  <c r="Q54" i="26" s="1"/>
  <c r="O55" i="26"/>
  <c r="Q55" i="26" s="1"/>
  <c r="O56" i="26"/>
  <c r="Q56" i="26" s="1"/>
  <c r="O57" i="26"/>
  <c r="Q57" i="26" s="1"/>
  <c r="O58" i="26"/>
  <c r="Q58" i="26" s="1"/>
  <c r="O59" i="26"/>
  <c r="Q59" i="26" s="1"/>
  <c r="O60" i="26"/>
  <c r="Q60" i="26" s="1"/>
  <c r="O61" i="26"/>
  <c r="Q61" i="26" s="1"/>
  <c r="O62" i="26"/>
  <c r="Q62" i="26" s="1"/>
  <c r="O63" i="26"/>
  <c r="Q63" i="26" s="1"/>
  <c r="O64" i="26"/>
  <c r="Q64" i="26" s="1"/>
  <c r="O65" i="26"/>
  <c r="Q65" i="26" s="1"/>
  <c r="O66" i="26"/>
  <c r="Q66" i="26" s="1"/>
  <c r="O67" i="26"/>
  <c r="Q67" i="26" s="1"/>
  <c r="O38" i="26"/>
  <c r="Q38" i="26" s="1"/>
  <c r="I39" i="26"/>
  <c r="K39" i="26" s="1"/>
  <c r="I40" i="26"/>
  <c r="K40" i="26" s="1"/>
  <c r="I41" i="26"/>
  <c r="K41" i="26" s="1"/>
  <c r="I42" i="26"/>
  <c r="K42" i="26" s="1"/>
  <c r="I43" i="26"/>
  <c r="K43" i="26" s="1"/>
  <c r="I44" i="26"/>
  <c r="K44" i="26" s="1"/>
  <c r="I45" i="26"/>
  <c r="K45" i="26" s="1"/>
  <c r="I46" i="26"/>
  <c r="K46" i="26" s="1"/>
  <c r="I47" i="26"/>
  <c r="K47" i="26" s="1"/>
  <c r="I48" i="26"/>
  <c r="K48" i="26" s="1"/>
  <c r="I49" i="26"/>
  <c r="K49" i="26" s="1"/>
  <c r="I50" i="26"/>
  <c r="K50" i="26" s="1"/>
  <c r="I51" i="26"/>
  <c r="K51" i="26" s="1"/>
  <c r="I52" i="26"/>
  <c r="K52" i="26" s="1"/>
  <c r="I53" i="26"/>
  <c r="K53" i="26" s="1"/>
  <c r="I54" i="26"/>
  <c r="K54" i="26" s="1"/>
  <c r="I55" i="26"/>
  <c r="K55" i="26" s="1"/>
  <c r="I56" i="26"/>
  <c r="K56" i="26" s="1"/>
  <c r="I57" i="26"/>
  <c r="K57" i="26" s="1"/>
  <c r="I58" i="26"/>
  <c r="K58" i="26" s="1"/>
  <c r="I59" i="26"/>
  <c r="K59" i="26" s="1"/>
  <c r="I60" i="26"/>
  <c r="K60" i="26" s="1"/>
  <c r="I61" i="26"/>
  <c r="K61" i="26" s="1"/>
  <c r="I62" i="26"/>
  <c r="K62" i="26" s="1"/>
  <c r="I63" i="26"/>
  <c r="K63" i="26" s="1"/>
  <c r="I64" i="26"/>
  <c r="K64" i="26" s="1"/>
  <c r="I65" i="26"/>
  <c r="K65" i="26" s="1"/>
  <c r="I66" i="26"/>
  <c r="K66" i="26" s="1"/>
  <c r="I67" i="26"/>
  <c r="K67" i="26" s="1"/>
  <c r="I68" i="26"/>
  <c r="K68" i="26" s="1"/>
  <c r="I38" i="26"/>
  <c r="K38" i="26" s="1"/>
  <c r="C39" i="26"/>
  <c r="E39" i="26" s="1"/>
  <c r="C40" i="26"/>
  <c r="E40" i="26" s="1"/>
  <c r="C41" i="26"/>
  <c r="E41" i="26" s="1"/>
  <c r="C42" i="26"/>
  <c r="E42" i="26" s="1"/>
  <c r="C43" i="26"/>
  <c r="E43" i="26" s="1"/>
  <c r="C44" i="26"/>
  <c r="E44" i="26" s="1"/>
  <c r="C45" i="26"/>
  <c r="E45" i="26" s="1"/>
  <c r="C46" i="26"/>
  <c r="E46" i="26" s="1"/>
  <c r="C47" i="26"/>
  <c r="E47" i="26" s="1"/>
  <c r="C48" i="26"/>
  <c r="E48" i="26" s="1"/>
  <c r="C49" i="26"/>
  <c r="E49" i="26" s="1"/>
  <c r="C50" i="26"/>
  <c r="E50" i="26" s="1"/>
  <c r="C51" i="26"/>
  <c r="E51" i="26" s="1"/>
  <c r="C52" i="26"/>
  <c r="E52" i="26" s="1"/>
  <c r="C53" i="26"/>
  <c r="E53" i="26" s="1"/>
  <c r="C54" i="26"/>
  <c r="E54" i="26" s="1"/>
  <c r="C55" i="26"/>
  <c r="E55" i="26" s="1"/>
  <c r="C56" i="26"/>
  <c r="E56" i="26" s="1"/>
  <c r="C57" i="26"/>
  <c r="E57" i="26" s="1"/>
  <c r="C58" i="26"/>
  <c r="E58" i="26" s="1"/>
  <c r="C59" i="26"/>
  <c r="E59" i="26" s="1"/>
  <c r="C60" i="26"/>
  <c r="E60" i="26" s="1"/>
  <c r="C61" i="26"/>
  <c r="E61" i="26" s="1"/>
  <c r="C62" i="26"/>
  <c r="E62" i="26" s="1"/>
  <c r="C63" i="26"/>
  <c r="E63" i="26" s="1"/>
  <c r="C64" i="26"/>
  <c r="E64" i="26" s="1"/>
  <c r="C65" i="26"/>
  <c r="E65" i="26" s="1"/>
  <c r="C66" i="26"/>
  <c r="E66" i="26" s="1"/>
  <c r="C67" i="26"/>
  <c r="E67" i="26" s="1"/>
  <c r="C68" i="26"/>
  <c r="E68" i="26" s="1"/>
  <c r="AA35" i="26"/>
  <c r="AC35" i="26" s="1"/>
  <c r="AA6" i="26"/>
  <c r="AC6" i="26" s="1"/>
  <c r="AA7" i="26"/>
  <c r="AC7" i="26" s="1"/>
  <c r="AA8" i="26"/>
  <c r="AC8" i="26" s="1"/>
  <c r="AA9" i="26"/>
  <c r="AC9" i="26" s="1"/>
  <c r="AA10" i="26"/>
  <c r="AC10" i="26" s="1"/>
  <c r="AA11" i="26"/>
  <c r="AC11" i="26" s="1"/>
  <c r="AA12" i="26"/>
  <c r="AC12" i="26" s="1"/>
  <c r="AA13" i="26"/>
  <c r="AC13" i="26" s="1"/>
  <c r="AA14" i="26"/>
  <c r="AC14" i="26" s="1"/>
  <c r="AA15" i="26"/>
  <c r="AC15" i="26" s="1"/>
  <c r="AA16" i="26"/>
  <c r="AC16" i="26" s="1"/>
  <c r="AA17" i="26"/>
  <c r="AC17" i="26" s="1"/>
  <c r="AA18" i="26"/>
  <c r="AC18" i="26" s="1"/>
  <c r="AA19" i="26"/>
  <c r="AC19" i="26" s="1"/>
  <c r="AA20" i="26"/>
  <c r="AC20" i="26" s="1"/>
  <c r="AA21" i="26"/>
  <c r="AC21" i="26" s="1"/>
  <c r="AA22" i="26"/>
  <c r="AC22" i="26" s="1"/>
  <c r="AA23" i="26"/>
  <c r="AC23" i="26" s="1"/>
  <c r="AA24" i="26"/>
  <c r="AC24" i="26" s="1"/>
  <c r="AA25" i="26"/>
  <c r="AC25" i="26" s="1"/>
  <c r="AA26" i="26"/>
  <c r="AC26" i="26" s="1"/>
  <c r="AA27" i="26"/>
  <c r="AC27" i="26" s="1"/>
  <c r="AA28" i="26"/>
  <c r="AC28" i="26" s="1"/>
  <c r="AA29" i="26"/>
  <c r="AC29" i="26" s="1"/>
  <c r="AA30" i="26"/>
  <c r="AC30" i="26" s="1"/>
  <c r="AA31" i="26"/>
  <c r="AC31" i="26" s="1"/>
  <c r="AA32" i="26"/>
  <c r="AC32" i="26" s="1"/>
  <c r="AA33" i="26"/>
  <c r="AC33" i="26" s="1"/>
  <c r="AA34" i="26"/>
  <c r="AC34" i="26" s="1"/>
  <c r="AA5" i="26"/>
  <c r="AC5" i="26" s="1"/>
  <c r="I6" i="26"/>
  <c r="K6" i="26" s="1"/>
  <c r="I7" i="26"/>
  <c r="K7" i="26" s="1"/>
  <c r="I8" i="26"/>
  <c r="K8" i="26" s="1"/>
  <c r="I9" i="26"/>
  <c r="K9" i="26" s="1"/>
  <c r="I10" i="26"/>
  <c r="K10" i="26" s="1"/>
  <c r="I11" i="26"/>
  <c r="K11" i="26" s="1"/>
  <c r="I12" i="26"/>
  <c r="K12" i="26" s="1"/>
  <c r="I13" i="26"/>
  <c r="K13" i="26" s="1"/>
  <c r="I14" i="26"/>
  <c r="K14" i="26" s="1"/>
  <c r="I15" i="26"/>
  <c r="K15" i="26" s="1"/>
  <c r="I16" i="26"/>
  <c r="K16" i="26" s="1"/>
  <c r="I17" i="26"/>
  <c r="K17" i="26" s="1"/>
  <c r="I18" i="26"/>
  <c r="K18" i="26" s="1"/>
  <c r="I19" i="26"/>
  <c r="K19" i="26" s="1"/>
  <c r="I20" i="26"/>
  <c r="K20" i="26" s="1"/>
  <c r="I21" i="26"/>
  <c r="K21" i="26" s="1"/>
  <c r="I22" i="26"/>
  <c r="K22" i="26" s="1"/>
  <c r="I23" i="26"/>
  <c r="K23" i="26" s="1"/>
  <c r="I24" i="26"/>
  <c r="K24" i="26" s="1"/>
  <c r="I25" i="26"/>
  <c r="K25" i="26" s="1"/>
  <c r="I26" i="26"/>
  <c r="K26" i="26" s="1"/>
  <c r="I27" i="26"/>
  <c r="K27" i="26" s="1"/>
  <c r="I28" i="26"/>
  <c r="K28" i="26" s="1"/>
  <c r="I29" i="26"/>
  <c r="K29" i="26" s="1"/>
  <c r="I30" i="26"/>
  <c r="K30" i="26" s="1"/>
  <c r="I31" i="26"/>
  <c r="K31" i="26" s="1"/>
  <c r="I32" i="26"/>
  <c r="K32" i="26" s="1"/>
  <c r="I33" i="26"/>
  <c r="K33" i="26" s="1"/>
  <c r="F18" i="40"/>
  <c r="J18" i="40"/>
  <c r="K18" i="40"/>
  <c r="M18" i="40"/>
  <c r="O18" i="40"/>
  <c r="F19" i="40"/>
  <c r="J19" i="40"/>
  <c r="K19" i="40"/>
  <c r="M19" i="40"/>
  <c r="O19" i="40"/>
  <c r="F20" i="40"/>
  <c r="J20" i="40"/>
  <c r="K20" i="40"/>
  <c r="M20" i="40"/>
  <c r="O20" i="40"/>
  <c r="F21" i="40"/>
  <c r="J21" i="40"/>
  <c r="K21" i="40"/>
  <c r="M21" i="40"/>
  <c r="O21" i="40"/>
  <c r="F22" i="40"/>
  <c r="J22" i="40"/>
  <c r="K22" i="40"/>
  <c r="M22" i="40"/>
  <c r="O22" i="40"/>
  <c r="F23" i="40"/>
  <c r="J23" i="40"/>
  <c r="K23" i="40"/>
  <c r="M23" i="40"/>
  <c r="O23" i="40"/>
  <c r="F24" i="40"/>
  <c r="J24" i="40"/>
  <c r="K24" i="40"/>
  <c r="M24" i="40"/>
  <c r="O24" i="40"/>
  <c r="F25" i="40"/>
  <c r="J25" i="40"/>
  <c r="K25" i="40"/>
  <c r="M25" i="40"/>
  <c r="O25" i="40"/>
  <c r="F26" i="40"/>
  <c r="J26" i="40"/>
  <c r="K26" i="40"/>
  <c r="M26" i="40"/>
  <c r="O26" i="40"/>
  <c r="B71" i="40"/>
  <c r="C52" i="40"/>
  <c r="C51" i="40"/>
  <c r="C50" i="40"/>
  <c r="C49" i="40"/>
  <c r="C48" i="40"/>
  <c r="C47" i="40"/>
  <c r="C46" i="40"/>
  <c r="C45" i="40"/>
  <c r="C44" i="40"/>
  <c r="C38" i="40"/>
  <c r="C37" i="40"/>
  <c r="C36" i="40"/>
  <c r="C35" i="40"/>
  <c r="C34" i="40"/>
  <c r="C33" i="40"/>
  <c r="C32" i="40"/>
  <c r="C30" i="40"/>
  <c r="G66" i="16"/>
  <c r="G64" i="16"/>
  <c r="B13" i="1"/>
  <c r="G63" i="16"/>
  <c r="G62" i="16"/>
  <c r="G61" i="16"/>
  <c r="G60" i="16"/>
  <c r="G59" i="16"/>
  <c r="G58" i="16"/>
  <c r="G57" i="16"/>
  <c r="G56" i="16"/>
  <c r="G50" i="16"/>
  <c r="G49" i="16"/>
  <c r="G48" i="16"/>
  <c r="G47" i="16"/>
  <c r="G46" i="16"/>
  <c r="G45" i="16"/>
  <c r="G44" i="16"/>
  <c r="G43" i="16"/>
  <c r="G42" i="16"/>
  <c r="F91" i="16"/>
  <c r="M6" i="1"/>
  <c r="D23" i="1"/>
  <c r="D24" i="1"/>
  <c r="G24" i="1"/>
  <c r="I24" i="1" s="1"/>
  <c r="D25" i="1"/>
  <c r="G25" i="1"/>
  <c r="B12" i="16"/>
  <c r="E9" i="13"/>
  <c r="E8" i="13"/>
  <c r="A6" i="13"/>
  <c r="AM91" i="16" l="1"/>
  <c r="D71" i="40" s="1"/>
  <c r="N25" i="1"/>
  <c r="K25" i="1"/>
  <c r="K24" i="1"/>
  <c r="N24" i="1"/>
  <c r="I22" i="1"/>
  <c r="J11" i="37"/>
  <c r="J9" i="37"/>
  <c r="I21" i="1"/>
  <c r="K21" i="1" s="1"/>
  <c r="L11" i="36"/>
  <c r="L9" i="36"/>
  <c r="U11" i="33"/>
  <c r="U9" i="33"/>
  <c r="L11" i="31"/>
  <c r="L9" i="31"/>
  <c r="K11" i="30"/>
  <c r="K9" i="30"/>
  <c r="X7" i="16"/>
  <c r="X9" i="16"/>
  <c r="AD11" i="29"/>
  <c r="AD9" i="29"/>
  <c r="H11" i="35"/>
  <c r="H9" i="35"/>
  <c r="M11" i="28"/>
  <c r="M9" i="28"/>
  <c r="J13" i="1"/>
  <c r="E27" i="43"/>
  <c r="E30" i="13"/>
  <c r="E30" i="43"/>
  <c r="B11" i="35"/>
  <c r="M12" i="36"/>
  <c r="P12" i="32"/>
  <c r="L47" i="34"/>
  <c r="L61" i="34" s="1"/>
  <c r="L5" i="34"/>
  <c r="J42" i="32"/>
  <c r="J56" i="32" s="1"/>
  <c r="J5" i="32"/>
  <c r="AI12" i="35"/>
  <c r="AI9" i="35" s="1"/>
  <c r="H12" i="28"/>
  <c r="X11" i="16"/>
  <c r="P19" i="40"/>
  <c r="P69" i="40"/>
  <c r="C15" i="20" s="1"/>
  <c r="D15" i="20" s="1"/>
  <c r="P67" i="40"/>
  <c r="C13" i="20" s="1"/>
  <c r="D13" i="20" s="1"/>
  <c r="AF12" i="28"/>
  <c r="AF9" i="28" s="1"/>
  <c r="T12" i="28"/>
  <c r="W12" i="30"/>
  <c r="R12" i="30"/>
  <c r="O12" i="30"/>
  <c r="I12" i="30"/>
  <c r="I9" i="30" s="1"/>
  <c r="W12" i="36"/>
  <c r="W9" i="36" s="1"/>
  <c r="AH12" i="35"/>
  <c r="AM91" i="29"/>
  <c r="F71" i="40" s="1"/>
  <c r="AM91" i="28"/>
  <c r="E71" i="40" s="1"/>
  <c r="AM91" i="36"/>
  <c r="M71" i="40" s="1"/>
  <c r="AM91" i="32"/>
  <c r="I71" i="40" s="1"/>
  <c r="AM91" i="37"/>
  <c r="N71" i="40" s="1"/>
  <c r="AM91" i="33"/>
  <c r="J71" i="40" s="1"/>
  <c r="AM91" i="34"/>
  <c r="K71" i="40" s="1"/>
  <c r="AM91" i="31"/>
  <c r="H71" i="40" s="1"/>
  <c r="AM91" i="38"/>
  <c r="O71" i="40" s="1"/>
  <c r="AM91" i="35"/>
  <c r="L71" i="40" s="1"/>
  <c r="AM91" i="30"/>
  <c r="G71" i="40" s="1"/>
  <c r="P65" i="40"/>
  <c r="C11" i="20" s="1"/>
  <c r="D11" i="20" s="1"/>
  <c r="P68" i="40"/>
  <c r="C14" i="20" s="1"/>
  <c r="D14" i="20" s="1"/>
  <c r="P26" i="40"/>
  <c r="P20" i="40"/>
  <c r="P18" i="40"/>
  <c r="P25" i="40"/>
  <c r="P66" i="40"/>
  <c r="C12" i="20" s="1"/>
  <c r="D12" i="20" s="1"/>
  <c r="P70" i="40"/>
  <c r="C16" i="20" s="1"/>
  <c r="D16" i="20" s="1"/>
  <c r="P23" i="40"/>
  <c r="P24" i="40"/>
  <c r="P21" i="40"/>
  <c r="P64" i="40"/>
  <c r="C10" i="20" s="1"/>
  <c r="D10" i="20" s="1"/>
  <c r="P22" i="40"/>
  <c r="P63" i="40"/>
  <c r="C9" i="20" s="1"/>
  <c r="D9" i="20" s="1"/>
  <c r="P62" i="40"/>
  <c r="C8" i="20" s="1"/>
  <c r="D8" i="20" s="1"/>
  <c r="P61" i="40"/>
  <c r="C7" i="20" s="1"/>
  <c r="D7" i="20" s="1"/>
  <c r="P60" i="40"/>
  <c r="C6" i="20" s="1"/>
  <c r="D6" i="20" s="1"/>
  <c r="P59" i="40"/>
  <c r="C5" i="20" s="1"/>
  <c r="J50" i="32"/>
  <c r="J64" i="32" s="1"/>
  <c r="AH12" i="31"/>
  <c r="I23" i="1"/>
  <c r="J44" i="32"/>
  <c r="J58" i="32" s="1"/>
  <c r="AG12" i="31"/>
  <c r="AG9" i="31" s="1"/>
  <c r="R12" i="28"/>
  <c r="AF12" i="31"/>
  <c r="AB12" i="31"/>
  <c r="AB9" i="31" s="1"/>
  <c r="Z12" i="31"/>
  <c r="Z9" i="31" s="1"/>
  <c r="AH12" i="32"/>
  <c r="J11" i="32"/>
  <c r="Q12" i="31"/>
  <c r="Q9" i="31" s="1"/>
  <c r="AF12" i="36"/>
  <c r="AF9" i="36" s="1"/>
  <c r="AF12" i="32"/>
  <c r="I12" i="31"/>
  <c r="AG12" i="28"/>
  <c r="Z12" i="36"/>
  <c r="D20" i="13"/>
  <c r="U12" i="36"/>
  <c r="U9" i="36" s="1"/>
  <c r="AF12" i="35"/>
  <c r="D14" i="27"/>
  <c r="O12" i="31"/>
  <c r="T12" i="37"/>
  <c r="T12" i="36"/>
  <c r="T9" i="36" s="1"/>
  <c r="X12" i="35"/>
  <c r="N12" i="31"/>
  <c r="N9" i="31" s="1"/>
  <c r="L12" i="37"/>
  <c r="O12" i="36"/>
  <c r="V12" i="35"/>
  <c r="L11" i="34"/>
  <c r="AF12" i="34"/>
  <c r="Y12" i="36"/>
  <c r="Y12" i="34"/>
  <c r="Y9" i="34" s="1"/>
  <c r="J49" i="32"/>
  <c r="J63" i="32" s="1"/>
  <c r="J46" i="32"/>
  <c r="J60" i="32" s="1"/>
  <c r="J47" i="32"/>
  <c r="J61" i="32" s="1"/>
  <c r="AC12" i="28"/>
  <c r="Q12" i="28"/>
  <c r="U12" i="35"/>
  <c r="AB12" i="28"/>
  <c r="P12" i="28"/>
  <c r="Z12" i="28"/>
  <c r="Z9" i="28" s="1"/>
  <c r="O12" i="28"/>
  <c r="X12" i="31"/>
  <c r="AD12" i="30"/>
  <c r="X12" i="28"/>
  <c r="N12" i="28"/>
  <c r="W12" i="31"/>
  <c r="AB12" i="30"/>
  <c r="AB9" i="30" s="1"/>
  <c r="AI12" i="28"/>
  <c r="W12" i="28"/>
  <c r="K12" i="28"/>
  <c r="K9" i="28" s="1"/>
  <c r="AD12" i="36"/>
  <c r="K12" i="36"/>
  <c r="Y12" i="32"/>
  <c r="Y9" i="32" s="1"/>
  <c r="AD12" i="35"/>
  <c r="AD9" i="35" s="1"/>
  <c r="T12" i="31"/>
  <c r="T9" i="31" s="1"/>
  <c r="AA12" i="30"/>
  <c r="AH12" i="28"/>
  <c r="U12" i="28"/>
  <c r="J12" i="28"/>
  <c r="W12" i="32"/>
  <c r="AC12" i="35"/>
  <c r="J24" i="1"/>
  <c r="AD12" i="31"/>
  <c r="V12" i="31"/>
  <c r="M12" i="31"/>
  <c r="M12" i="32"/>
  <c r="M9" i="32" s="1"/>
  <c r="AB12" i="35"/>
  <c r="AB9" i="35" s="1"/>
  <c r="S12" i="35"/>
  <c r="S9" i="35" s="1"/>
  <c r="AC12" i="31"/>
  <c r="U12" i="31"/>
  <c r="K12" i="31"/>
  <c r="K9" i="31" s="1"/>
  <c r="Z12" i="30"/>
  <c r="AC12" i="29"/>
  <c r="AC9" i="29" s="1"/>
  <c r="AE12" i="28"/>
  <c r="AE9" i="28" s="1"/>
  <c r="L12" i="28"/>
  <c r="AI12" i="36"/>
  <c r="AI9" i="36" s="1"/>
  <c r="S12" i="36"/>
  <c r="K12" i="32"/>
  <c r="K9" i="32" s="1"/>
  <c r="AA12" i="35"/>
  <c r="AA9" i="35" s="1"/>
  <c r="R12" i="35"/>
  <c r="Z12" i="35"/>
  <c r="O12" i="35"/>
  <c r="O9" i="35" s="1"/>
  <c r="AI12" i="31"/>
  <c r="AI9" i="31" s="1"/>
  <c r="AA12" i="31"/>
  <c r="AA9" i="31" s="1"/>
  <c r="S12" i="31"/>
  <c r="H12" i="31"/>
  <c r="T12" i="30"/>
  <c r="Y12" i="35"/>
  <c r="Y9" i="35" s="1"/>
  <c r="L12" i="35"/>
  <c r="L9" i="35" s="1"/>
  <c r="P12" i="31"/>
  <c r="AI12" i="30"/>
  <c r="AI9" i="30" s="1"/>
  <c r="Q12" i="30"/>
  <c r="Q9" i="30" s="1"/>
  <c r="J48" i="32"/>
  <c r="J62" i="32" s="1"/>
  <c r="J45" i="32"/>
  <c r="J59" i="32" s="1"/>
  <c r="K14" i="27"/>
  <c r="L14" i="27" s="1"/>
  <c r="AB12" i="29"/>
  <c r="T12" i="34"/>
  <c r="T9" i="34" s="1"/>
  <c r="AD12" i="32"/>
  <c r="I12" i="32"/>
  <c r="J25" i="1"/>
  <c r="M25" i="1" s="1"/>
  <c r="D15" i="27"/>
  <c r="Z12" i="29"/>
  <c r="Q12" i="34"/>
  <c r="Y12" i="29"/>
  <c r="O12" i="34"/>
  <c r="AH12" i="16"/>
  <c r="AH9" i="16" s="1"/>
  <c r="AE12" i="31"/>
  <c r="Y12" i="31"/>
  <c r="Y9" i="31" s="1"/>
  <c r="R12" i="31"/>
  <c r="J12" i="31"/>
  <c r="AG12" i="30"/>
  <c r="U12" i="30"/>
  <c r="U9" i="30" s="1"/>
  <c r="L12" i="30"/>
  <c r="L9" i="30" s="1"/>
  <c r="X12" i="29"/>
  <c r="I12" i="34"/>
  <c r="T12" i="32"/>
  <c r="AC12" i="16"/>
  <c r="AC9" i="16" s="1"/>
  <c r="W12" i="35"/>
  <c r="W9" i="35" s="1"/>
  <c r="S12" i="29"/>
  <c r="AB12" i="16"/>
  <c r="O12" i="29"/>
  <c r="AD12" i="34"/>
  <c r="AD9" i="34" s="1"/>
  <c r="O12" i="16"/>
  <c r="D17" i="27"/>
  <c r="AI12" i="29"/>
  <c r="K12" i="29"/>
  <c r="K9" i="29" s="1"/>
  <c r="AB12" i="34"/>
  <c r="L12" i="16"/>
  <c r="J7" i="37"/>
  <c r="M7" i="28"/>
  <c r="L42" i="34"/>
  <c r="L56" i="34" s="1"/>
  <c r="L48" i="34"/>
  <c r="L62" i="34" s="1"/>
  <c r="L49" i="34"/>
  <c r="L63" i="34" s="1"/>
  <c r="L50" i="34"/>
  <c r="L64" i="34" s="1"/>
  <c r="L44" i="34"/>
  <c r="L58" i="34" s="1"/>
  <c r="L45" i="34"/>
  <c r="L59" i="34" s="1"/>
  <c r="L46" i="34"/>
  <c r="L60" i="34" s="1"/>
  <c r="K7" i="30"/>
  <c r="I15" i="27"/>
  <c r="L15" i="27" s="1"/>
  <c r="Y12" i="30"/>
  <c r="Y9" i="30" s="1"/>
  <c r="S12" i="30"/>
  <c r="S9" i="30" s="1"/>
  <c r="AH12" i="37"/>
  <c r="W12" i="34"/>
  <c r="W9" i="34" s="1"/>
  <c r="AE12" i="30"/>
  <c r="AE9" i="30" s="1"/>
  <c r="X12" i="30"/>
  <c r="K12" i="37"/>
  <c r="I12" i="37"/>
  <c r="O12" i="37"/>
  <c r="Z12" i="37"/>
  <c r="Z9" i="37" s="1"/>
  <c r="AC12" i="37"/>
  <c r="AC9" i="37" s="1"/>
  <c r="AG12" i="37"/>
  <c r="AG9" i="37" s="1"/>
  <c r="Q12" i="37"/>
  <c r="Q9" i="37" s="1"/>
  <c r="AB12" i="37"/>
  <c r="AB9" i="37" s="1"/>
  <c r="AI12" i="37"/>
  <c r="R12" i="37"/>
  <c r="R9" i="37" s="1"/>
  <c r="U12" i="37"/>
  <c r="U9" i="37" s="1"/>
  <c r="AD12" i="37"/>
  <c r="AD9" i="37" s="1"/>
  <c r="S12" i="37"/>
  <c r="S9" i="37" s="1"/>
  <c r="AE12" i="37"/>
  <c r="AE9" i="37" s="1"/>
  <c r="AF12" i="37"/>
  <c r="AF9" i="37" s="1"/>
  <c r="AC12" i="30"/>
  <c r="AC9" i="30" s="1"/>
  <c r="X12" i="37"/>
  <c r="X9" i="37" s="1"/>
  <c r="N12" i="34"/>
  <c r="N9" i="34" s="1"/>
  <c r="P12" i="34"/>
  <c r="P9" i="34" s="1"/>
  <c r="V12" i="34"/>
  <c r="V9" i="34" s="1"/>
  <c r="AI12" i="34"/>
  <c r="AI9" i="34" s="1"/>
  <c r="J12" i="34"/>
  <c r="J9" i="34" s="1"/>
  <c r="R12" i="34"/>
  <c r="K12" i="34"/>
  <c r="K9" i="34" s="1"/>
  <c r="Z12" i="34"/>
  <c r="AE12" i="34"/>
  <c r="AE9" i="34" s="1"/>
  <c r="S12" i="34"/>
  <c r="S9" i="34" s="1"/>
  <c r="X12" i="34"/>
  <c r="X9" i="34" s="1"/>
  <c r="AA12" i="34"/>
  <c r="AA9" i="34" s="1"/>
  <c r="AG12" i="34"/>
  <c r="AG9" i="34" s="1"/>
  <c r="H12" i="34"/>
  <c r="M12" i="34"/>
  <c r="M9" i="34" s="1"/>
  <c r="U12" i="34"/>
  <c r="U9" i="34" s="1"/>
  <c r="AC12" i="34"/>
  <c r="AC9" i="34" s="1"/>
  <c r="AH12" i="34"/>
  <c r="AH9" i="34" s="1"/>
  <c r="K17" i="27"/>
  <c r="L17" i="27" s="1"/>
  <c r="AA12" i="37"/>
  <c r="AA9" i="37" s="1"/>
  <c r="W12" i="37"/>
  <c r="W9" i="37" s="1"/>
  <c r="V12" i="37"/>
  <c r="V9" i="37" s="1"/>
  <c r="P12" i="37"/>
  <c r="P9" i="37" s="1"/>
  <c r="O12" i="33"/>
  <c r="AA12" i="33"/>
  <c r="AD12" i="33"/>
  <c r="AD9" i="33" s="1"/>
  <c r="AG12" i="33"/>
  <c r="K16" i="27"/>
  <c r="I16" i="27"/>
  <c r="J12" i="30"/>
  <c r="J9" i="30" s="1"/>
  <c r="N12" i="30"/>
  <c r="N9" i="30" s="1"/>
  <c r="AF12" i="30"/>
  <c r="AF9" i="30" s="1"/>
  <c r="P12" i="30"/>
  <c r="P9" i="30" s="1"/>
  <c r="V12" i="30"/>
  <c r="AH12" i="30"/>
  <c r="AH9" i="30" s="1"/>
  <c r="Y12" i="37"/>
  <c r="Y9" i="37" s="1"/>
  <c r="N12" i="37"/>
  <c r="H7" i="35"/>
  <c r="AE12" i="29"/>
  <c r="R12" i="29"/>
  <c r="AD12" i="28"/>
  <c r="AA12" i="28"/>
  <c r="AA9" i="28" s="1"/>
  <c r="S12" i="28"/>
  <c r="S9" i="28" s="1"/>
  <c r="I12" i="28"/>
  <c r="I9" i="28" s="1"/>
  <c r="AC12" i="36"/>
  <c r="AA12" i="36"/>
  <c r="AA9" i="36" s="1"/>
  <c r="P12" i="36"/>
  <c r="P9" i="36" s="1"/>
  <c r="J12" i="36"/>
  <c r="AI12" i="32"/>
  <c r="AI9" i="32" s="1"/>
  <c r="AB12" i="32"/>
  <c r="AB9" i="32" s="1"/>
  <c r="AI12" i="16"/>
  <c r="AI9" i="16" s="1"/>
  <c r="AF12" i="16"/>
  <c r="AF9" i="16" s="1"/>
  <c r="M12" i="16"/>
  <c r="H12" i="16"/>
  <c r="H9" i="16" s="1"/>
  <c r="AE12" i="35"/>
  <c r="AE9" i="35" s="1"/>
  <c r="Q12" i="35"/>
  <c r="Q9" i="35" s="1"/>
  <c r="K12" i="35"/>
  <c r="K9" i="35" s="1"/>
  <c r="AE12" i="36"/>
  <c r="AE9" i="36" s="1"/>
  <c r="AB12" i="36"/>
  <c r="AB9" i="36" s="1"/>
  <c r="V12" i="36"/>
  <c r="V9" i="36" s="1"/>
  <c r="I12" i="36"/>
  <c r="I9" i="36" s="1"/>
  <c r="S12" i="32"/>
  <c r="S9" i="32" s="1"/>
  <c r="O12" i="32"/>
  <c r="Y12" i="16"/>
  <c r="Y9" i="16" s="1"/>
  <c r="K12" i="16"/>
  <c r="T12" i="35"/>
  <c r="T9" i="35" s="1"/>
  <c r="P12" i="35"/>
  <c r="P9" i="35" s="1"/>
  <c r="N12" i="35"/>
  <c r="N9" i="35" s="1"/>
  <c r="J12" i="35"/>
  <c r="J9" i="35" s="1"/>
  <c r="Y12" i="28"/>
  <c r="Y9" i="28" s="1"/>
  <c r="V12" i="28"/>
  <c r="V9" i="28" s="1"/>
  <c r="AH12" i="36"/>
  <c r="AH9" i="36" s="1"/>
  <c r="R12" i="36"/>
  <c r="R9" i="36" s="1"/>
  <c r="N12" i="36"/>
  <c r="N9" i="36" s="1"/>
  <c r="H12" i="36"/>
  <c r="H9" i="36" s="1"/>
  <c r="AG12" i="32"/>
  <c r="AC12" i="32"/>
  <c r="AC9" i="32" s="1"/>
  <c r="AA12" i="32"/>
  <c r="AA9" i="32" s="1"/>
  <c r="V12" i="32"/>
  <c r="V9" i="32" s="1"/>
  <c r="N12" i="32"/>
  <c r="T12" i="16"/>
  <c r="T9" i="16" s="1"/>
  <c r="AG12" i="35"/>
  <c r="AG9" i="35" s="1"/>
  <c r="M12" i="35"/>
  <c r="Z12" i="32"/>
  <c r="R12" i="32"/>
  <c r="R9" i="32" s="1"/>
  <c r="L12" i="32"/>
  <c r="L9" i="32" s="1"/>
  <c r="H12" i="32"/>
  <c r="H9" i="32" s="1"/>
  <c r="W12" i="16"/>
  <c r="S12" i="16"/>
  <c r="I12" i="35"/>
  <c r="I9" i="35" s="1"/>
  <c r="AG12" i="16"/>
  <c r="AG9" i="16" s="1"/>
  <c r="V12" i="16"/>
  <c r="V9" i="16" s="1"/>
  <c r="R12" i="16"/>
  <c r="J12" i="16"/>
  <c r="J9" i="16" s="1"/>
  <c r="AG12" i="36"/>
  <c r="AG9" i="36" s="1"/>
  <c r="X12" i="36"/>
  <c r="Q12" i="36"/>
  <c r="Q9" i="36" s="1"/>
  <c r="AE12" i="32"/>
  <c r="X12" i="32"/>
  <c r="U12" i="32"/>
  <c r="U9" i="32" s="1"/>
  <c r="Q12" i="32"/>
  <c r="Q9" i="32" s="1"/>
  <c r="AD12" i="16"/>
  <c r="AD9" i="16" s="1"/>
  <c r="U12" i="16"/>
  <c r="U9" i="16" s="1"/>
  <c r="Q12" i="16"/>
  <c r="I12" i="16"/>
  <c r="I6" i="27"/>
  <c r="D6" i="27"/>
  <c r="K6" i="27"/>
  <c r="AD7" i="29"/>
  <c r="I13" i="27"/>
  <c r="K13" i="27"/>
  <c r="D13" i="27"/>
  <c r="I5" i="27"/>
  <c r="K5" i="27"/>
  <c r="L7" i="31"/>
  <c r="I12" i="29"/>
  <c r="I9" i="29" s="1"/>
  <c r="B15" i="6"/>
  <c r="AA12" i="29"/>
  <c r="AA9" i="29" s="1"/>
  <c r="V12" i="29"/>
  <c r="V9" i="29" s="1"/>
  <c r="T12" i="29"/>
  <c r="T9" i="29" s="1"/>
  <c r="L12" i="29"/>
  <c r="L9" i="29" s="1"/>
  <c r="H12" i="30"/>
  <c r="H9" i="30" s="1"/>
  <c r="M12" i="30"/>
  <c r="M9" i="30" s="1"/>
  <c r="H12" i="29"/>
  <c r="H9" i="29" s="1"/>
  <c r="W12" i="29"/>
  <c r="W9" i="29" s="1"/>
  <c r="AF12" i="29"/>
  <c r="AF9" i="29" s="1"/>
  <c r="AH12" i="29"/>
  <c r="AH9" i="29" s="1"/>
  <c r="N12" i="29"/>
  <c r="N9" i="29" s="1"/>
  <c r="Q12" i="29"/>
  <c r="Q9" i="29" s="1"/>
  <c r="J12" i="29"/>
  <c r="J9" i="29" s="1"/>
  <c r="P12" i="29"/>
  <c r="P9" i="29" s="1"/>
  <c r="U12" i="29"/>
  <c r="U9" i="29" s="1"/>
  <c r="AG12" i="29"/>
  <c r="AG9" i="29" s="1"/>
  <c r="M12" i="29"/>
  <c r="M9" i="29" s="1"/>
  <c r="L7" i="36"/>
  <c r="AI12" i="38"/>
  <c r="AI9" i="38" s="1"/>
  <c r="I12" i="38"/>
  <c r="I9" i="38" s="1"/>
  <c r="K12" i="38"/>
  <c r="K9" i="38" s="1"/>
  <c r="O12" i="38"/>
  <c r="O9" i="38" s="1"/>
  <c r="R12" i="38"/>
  <c r="R9" i="38" s="1"/>
  <c r="H12" i="38"/>
  <c r="H9" i="38" s="1"/>
  <c r="N12" i="38"/>
  <c r="N9" i="38" s="1"/>
  <c r="P12" i="38"/>
  <c r="P9" i="38" s="1"/>
  <c r="U12" i="38"/>
  <c r="U9" i="38" s="1"/>
  <c r="Y12" i="38"/>
  <c r="Y9" i="38" s="1"/>
  <c r="AG12" i="38"/>
  <c r="AG9" i="38" s="1"/>
  <c r="M12" i="38"/>
  <c r="M9" i="38" s="1"/>
  <c r="V12" i="38"/>
  <c r="V9" i="38" s="1"/>
  <c r="AE12" i="38"/>
  <c r="AE9" i="38" s="1"/>
  <c r="T12" i="38"/>
  <c r="T9" i="38" s="1"/>
  <c r="W12" i="38"/>
  <c r="W9" i="38" s="1"/>
  <c r="AA12" i="38"/>
  <c r="AA9" i="38" s="1"/>
  <c r="AB12" i="38"/>
  <c r="AB9" i="38" s="1"/>
  <c r="AC12" i="38"/>
  <c r="AC9" i="38" s="1"/>
  <c r="J12" i="38"/>
  <c r="J9" i="38" s="1"/>
  <c r="L12" i="38"/>
  <c r="L9" i="38" s="1"/>
  <c r="Q12" i="38"/>
  <c r="Q9" i="38" s="1"/>
  <c r="S12" i="38"/>
  <c r="S9" i="38" s="1"/>
  <c r="AF12" i="38"/>
  <c r="AF9" i="38" s="1"/>
  <c r="X12" i="38"/>
  <c r="X9" i="38" s="1"/>
  <c r="Z12" i="38"/>
  <c r="Z9" i="38" s="1"/>
  <c r="AH12" i="38"/>
  <c r="AH9" i="38" s="1"/>
  <c r="AD12" i="38"/>
  <c r="AD9" i="38" s="1"/>
  <c r="U7" i="33"/>
  <c r="H12" i="37"/>
  <c r="H9" i="37" s="1"/>
  <c r="L7" i="34"/>
  <c r="J12" i="33"/>
  <c r="J9" i="33" s="1"/>
  <c r="Q12" i="33"/>
  <c r="Q9" i="33" s="1"/>
  <c r="W12" i="33"/>
  <c r="W9" i="33" s="1"/>
  <c r="AC12" i="33"/>
  <c r="AC9" i="33" s="1"/>
  <c r="AE12" i="33"/>
  <c r="AE9" i="33" s="1"/>
  <c r="M12" i="33"/>
  <c r="M9" i="33" s="1"/>
  <c r="AB12" i="33"/>
  <c r="AB9" i="33" s="1"/>
  <c r="AF12" i="33"/>
  <c r="AF9" i="33" s="1"/>
  <c r="K12" i="33"/>
  <c r="K9" i="33" s="1"/>
  <c r="N12" i="33"/>
  <c r="N9" i="33" s="1"/>
  <c r="X12" i="33"/>
  <c r="X9" i="33" s="1"/>
  <c r="AI12" i="33"/>
  <c r="AI9" i="33" s="1"/>
  <c r="P12" i="33"/>
  <c r="P9" i="33" s="1"/>
  <c r="S12" i="33"/>
  <c r="S9" i="33" s="1"/>
  <c r="V12" i="33"/>
  <c r="V9" i="33" s="1"/>
  <c r="H12" i="33"/>
  <c r="H9" i="33" s="1"/>
  <c r="Z12" i="33"/>
  <c r="Z9" i="33" s="1"/>
  <c r="I12" i="33"/>
  <c r="I9" i="33" s="1"/>
  <c r="L12" i="33"/>
  <c r="L9" i="33" s="1"/>
  <c r="R12" i="33"/>
  <c r="R9" i="33" s="1"/>
  <c r="T12" i="33"/>
  <c r="T9" i="33" s="1"/>
  <c r="Y12" i="33"/>
  <c r="Y9" i="33" s="1"/>
  <c r="AH12" i="33"/>
  <c r="AH9" i="33" s="1"/>
  <c r="M12" i="37"/>
  <c r="M9" i="37" s="1"/>
  <c r="J7" i="32"/>
  <c r="AE12" i="16"/>
  <c r="AE9" i="16" s="1"/>
  <c r="Z12" i="16"/>
  <c r="Z9" i="16" s="1"/>
  <c r="P12" i="16"/>
  <c r="P9" i="16" s="1"/>
  <c r="N12" i="16"/>
  <c r="N9" i="16" s="1"/>
  <c r="AA12" i="16"/>
  <c r="AA9" i="16" s="1"/>
  <c r="E27" i="13"/>
  <c r="I9" i="16" l="1"/>
  <c r="L21" i="1"/>
  <c r="L22" i="1" s="1"/>
  <c r="L23" i="1" s="1"/>
  <c r="L24" i="1" s="1"/>
  <c r="L25" i="1" s="1"/>
  <c r="M24" i="1"/>
  <c r="K23" i="1"/>
  <c r="K22" i="1"/>
  <c r="O7" i="32"/>
  <c r="O9" i="32"/>
  <c r="AH7" i="28"/>
  <c r="AH9" i="28"/>
  <c r="L11" i="37"/>
  <c r="L9" i="37"/>
  <c r="H7" i="34"/>
  <c r="H9" i="34"/>
  <c r="R7" i="34"/>
  <c r="R9" i="34"/>
  <c r="L7" i="16"/>
  <c r="L9" i="16"/>
  <c r="AB11" i="16"/>
  <c r="AB9" i="16"/>
  <c r="Y11" i="29"/>
  <c r="Y9" i="29"/>
  <c r="AB11" i="29"/>
  <c r="AB9" i="29"/>
  <c r="R7" i="35"/>
  <c r="R9" i="35"/>
  <c r="Z11" i="30"/>
  <c r="Z9" i="30"/>
  <c r="V11" i="31"/>
  <c r="V9" i="31"/>
  <c r="AA11" i="30"/>
  <c r="AA9" i="30"/>
  <c r="AI11" i="28"/>
  <c r="AI9" i="28"/>
  <c r="AH11" i="32"/>
  <c r="AH9" i="32"/>
  <c r="AH7" i="31"/>
  <c r="AH9" i="31"/>
  <c r="AH11" i="35"/>
  <c r="AH9" i="35"/>
  <c r="R11" i="16"/>
  <c r="R9" i="16"/>
  <c r="M11" i="16"/>
  <c r="M9" i="16"/>
  <c r="AC7" i="36"/>
  <c r="AC9" i="36"/>
  <c r="N11" i="37"/>
  <c r="N9" i="37"/>
  <c r="AB11" i="34"/>
  <c r="AB9" i="34"/>
  <c r="S11" i="29"/>
  <c r="S9" i="29"/>
  <c r="AG11" i="30"/>
  <c r="AG9" i="30"/>
  <c r="Q11" i="34"/>
  <c r="Q9" i="34"/>
  <c r="T7" i="30"/>
  <c r="T9" i="30"/>
  <c r="AD11" i="31"/>
  <c r="AD9" i="31"/>
  <c r="P11" i="28"/>
  <c r="P9" i="28"/>
  <c r="X7" i="35"/>
  <c r="X9" i="35"/>
  <c r="Z11" i="36"/>
  <c r="Z9" i="36"/>
  <c r="X11" i="30"/>
  <c r="X9" i="30"/>
  <c r="O11" i="29"/>
  <c r="O9" i="29"/>
  <c r="M11" i="31"/>
  <c r="M9" i="31"/>
  <c r="O11" i="28"/>
  <c r="O9" i="28"/>
  <c r="Z7" i="32"/>
  <c r="Z9" i="32"/>
  <c r="AG7" i="32"/>
  <c r="AG9" i="32"/>
  <c r="AH11" i="37"/>
  <c r="AH9" i="37"/>
  <c r="J7" i="31"/>
  <c r="J9" i="31"/>
  <c r="Z11" i="29"/>
  <c r="Z9" i="29"/>
  <c r="H7" i="31"/>
  <c r="H9" i="31"/>
  <c r="U11" i="31"/>
  <c r="U9" i="31"/>
  <c r="W7" i="31"/>
  <c r="W9" i="31"/>
  <c r="AB7" i="28"/>
  <c r="AB9" i="28"/>
  <c r="Y7" i="36"/>
  <c r="Y9" i="36"/>
  <c r="AG11" i="28"/>
  <c r="AG9" i="28"/>
  <c r="P9" i="32"/>
  <c r="P47" i="32" s="1"/>
  <c r="P61" i="32" s="1"/>
  <c r="X7" i="32"/>
  <c r="X9" i="32"/>
  <c r="M11" i="35"/>
  <c r="M9" i="35"/>
  <c r="AG11" i="33"/>
  <c r="AG9" i="33"/>
  <c r="AI11" i="29"/>
  <c r="AI9" i="29"/>
  <c r="R11" i="31"/>
  <c r="R9" i="31"/>
  <c r="S7" i="31"/>
  <c r="S9" i="31"/>
  <c r="S7" i="36"/>
  <c r="S9" i="36"/>
  <c r="AC11" i="31"/>
  <c r="AC9" i="31"/>
  <c r="AC11" i="35"/>
  <c r="AC9" i="35"/>
  <c r="N7" i="28"/>
  <c r="N9" i="28"/>
  <c r="U7" i="35"/>
  <c r="U9" i="35"/>
  <c r="AF11" i="34"/>
  <c r="AF9" i="34"/>
  <c r="T11" i="37"/>
  <c r="T9" i="37"/>
  <c r="I7" i="31"/>
  <c r="I9" i="31"/>
  <c r="AF7" i="31"/>
  <c r="AF9" i="31"/>
  <c r="O11" i="30"/>
  <c r="O9" i="30"/>
  <c r="M11" i="36"/>
  <c r="M9" i="36"/>
  <c r="O7" i="34"/>
  <c r="O9" i="34"/>
  <c r="W11" i="28"/>
  <c r="W9" i="28"/>
  <c r="AE7" i="32"/>
  <c r="AE9" i="32"/>
  <c r="V11" i="30"/>
  <c r="V9" i="30"/>
  <c r="O7" i="37"/>
  <c r="O9" i="37"/>
  <c r="T7" i="32"/>
  <c r="T9" i="32"/>
  <c r="W11" i="32"/>
  <c r="W9" i="32"/>
  <c r="K11" i="36"/>
  <c r="K9" i="36"/>
  <c r="K48" i="36" s="1"/>
  <c r="K62" i="36" s="1"/>
  <c r="X11" i="28"/>
  <c r="X9" i="28"/>
  <c r="Q11" i="28"/>
  <c r="Q9" i="28"/>
  <c r="O11" i="31"/>
  <c r="O9" i="31"/>
  <c r="AF7" i="32"/>
  <c r="AF9" i="32"/>
  <c r="R11" i="28"/>
  <c r="R9" i="28"/>
  <c r="R7" i="30"/>
  <c r="R9" i="30"/>
  <c r="H11" i="28"/>
  <c r="H9" i="28"/>
  <c r="S7" i="16"/>
  <c r="S9" i="16"/>
  <c r="K11" i="16"/>
  <c r="K9" i="16"/>
  <c r="AD7" i="28"/>
  <c r="AD9" i="28"/>
  <c r="AA7" i="33"/>
  <c r="AA9" i="33"/>
  <c r="I11" i="37"/>
  <c r="I9" i="37"/>
  <c r="O7" i="16"/>
  <c r="O9" i="16"/>
  <c r="I11" i="34"/>
  <c r="I9" i="34"/>
  <c r="AE7" i="31"/>
  <c r="AE9" i="31"/>
  <c r="I7" i="32"/>
  <c r="I9" i="32"/>
  <c r="L7" i="28"/>
  <c r="L9" i="28"/>
  <c r="J11" i="28"/>
  <c r="J9" i="28"/>
  <c r="AD11" i="36"/>
  <c r="AD9" i="36"/>
  <c r="AD11" i="30"/>
  <c r="AD9" i="30"/>
  <c r="AC11" i="28"/>
  <c r="AC9" i="28"/>
  <c r="V7" i="35"/>
  <c r="V9" i="35"/>
  <c r="W7" i="30"/>
  <c r="W9" i="30"/>
  <c r="AE7" i="29"/>
  <c r="AE9" i="29"/>
  <c r="Z11" i="35"/>
  <c r="Z9" i="35"/>
  <c r="Q11" i="16"/>
  <c r="Q9" i="16"/>
  <c r="X11" i="36"/>
  <c r="X9" i="36"/>
  <c r="W7" i="16"/>
  <c r="W9" i="16"/>
  <c r="N11" i="32"/>
  <c r="N9" i="32"/>
  <c r="J11" i="36"/>
  <c r="J9" i="36"/>
  <c r="R11" i="29"/>
  <c r="R9" i="29"/>
  <c r="O7" i="33"/>
  <c r="O9" i="33"/>
  <c r="Z7" i="34"/>
  <c r="Z9" i="34"/>
  <c r="AI11" i="37"/>
  <c r="AI9" i="37"/>
  <c r="K7" i="37"/>
  <c r="K9" i="37"/>
  <c r="X11" i="29"/>
  <c r="X9" i="29"/>
  <c r="AD11" i="32"/>
  <c r="AD9" i="32"/>
  <c r="P7" i="31"/>
  <c r="P9" i="31"/>
  <c r="U7" i="28"/>
  <c r="U9" i="28"/>
  <c r="X7" i="31"/>
  <c r="X9" i="31"/>
  <c r="O7" i="36"/>
  <c r="O9" i="36"/>
  <c r="AF11" i="35"/>
  <c r="AF9" i="35"/>
  <c r="T11" i="28"/>
  <c r="T9" i="28"/>
  <c r="J21" i="1"/>
  <c r="J23" i="1"/>
  <c r="M23" i="1" s="1"/>
  <c r="P11" i="32"/>
  <c r="H42" i="35"/>
  <c r="H56" i="35" s="1"/>
  <c r="AD5" i="34"/>
  <c r="AD5" i="29"/>
  <c r="AF42" i="28"/>
  <c r="AF56" i="28" s="1"/>
  <c r="N5" i="30"/>
  <c r="J5" i="30"/>
  <c r="AI5" i="36"/>
  <c r="U5" i="33"/>
  <c r="N5" i="35"/>
  <c r="P5" i="36"/>
  <c r="K5" i="34"/>
  <c r="AI42" i="35"/>
  <c r="AI56" i="35" s="1"/>
  <c r="Q5" i="30"/>
  <c r="AF5" i="36"/>
  <c r="P5" i="37"/>
  <c r="V5" i="37"/>
  <c r="P5" i="34"/>
  <c r="K7" i="36"/>
  <c r="M7" i="36"/>
  <c r="AJ12" i="35"/>
  <c r="P7" i="32"/>
  <c r="AI11" i="35"/>
  <c r="AI7" i="35"/>
  <c r="H7" i="28"/>
  <c r="Z48" i="31"/>
  <c r="Z62" i="31" s="1"/>
  <c r="Z5" i="31"/>
  <c r="K45" i="30"/>
  <c r="K59" i="30" s="1"/>
  <c r="K5" i="30"/>
  <c r="O44" i="35"/>
  <c r="O58" i="35" s="1"/>
  <c r="O5" i="35"/>
  <c r="N44" i="31"/>
  <c r="N58" i="31" s="1"/>
  <c r="N5" i="31"/>
  <c r="W50" i="36"/>
  <c r="W64" i="36" s="1"/>
  <c r="W5" i="36"/>
  <c r="I47" i="30"/>
  <c r="I61" i="30" s="1"/>
  <c r="I5" i="30"/>
  <c r="L42" i="35"/>
  <c r="L56" i="35" s="1"/>
  <c r="L5" i="35"/>
  <c r="AI44" i="35"/>
  <c r="AI58" i="35" s="1"/>
  <c r="AA48" i="35"/>
  <c r="AA62" i="35" s="1"/>
  <c r="AA5" i="35"/>
  <c r="AG44" i="31"/>
  <c r="AG58" i="31" s="1"/>
  <c r="AG5" i="31"/>
  <c r="AI45" i="35"/>
  <c r="AI59" i="35" s="1"/>
  <c r="U48" i="36"/>
  <c r="U62" i="36" s="1"/>
  <c r="U5" i="36"/>
  <c r="AI50" i="35"/>
  <c r="AI64" i="35" s="1"/>
  <c r="I49" i="28"/>
  <c r="I63" i="28" s="1"/>
  <c r="I5" i="28"/>
  <c r="AE45" i="28"/>
  <c r="AE59" i="28" s="1"/>
  <c r="AE5" i="28"/>
  <c r="T49" i="31"/>
  <c r="T63" i="31" s="1"/>
  <c r="T5" i="31"/>
  <c r="Y50" i="35"/>
  <c r="Y64" i="35" s="1"/>
  <c r="Y5" i="35"/>
  <c r="T45" i="36"/>
  <c r="T59" i="36" s="1"/>
  <c r="T5" i="36"/>
  <c r="AI48" i="35"/>
  <c r="AI62" i="35" s="1"/>
  <c r="AI46" i="35"/>
  <c r="AI60" i="35" s="1"/>
  <c r="AI49" i="35"/>
  <c r="AI63" i="35" s="1"/>
  <c r="AF44" i="28"/>
  <c r="AF58" i="28" s="1"/>
  <c r="AF5" i="28"/>
  <c r="AI49" i="34"/>
  <c r="AI63" i="34" s="1"/>
  <c r="AI5" i="34"/>
  <c r="M49" i="28"/>
  <c r="M63" i="28" s="1"/>
  <c r="M5" i="28"/>
  <c r="AC48" i="29"/>
  <c r="AC62" i="29" s="1"/>
  <c r="AC5" i="29"/>
  <c r="AD50" i="35"/>
  <c r="AD64" i="35" s="1"/>
  <c r="AD5" i="35"/>
  <c r="I47" i="36"/>
  <c r="I61" i="36" s="1"/>
  <c r="I5" i="36"/>
  <c r="AI47" i="35"/>
  <c r="AI61" i="35" s="1"/>
  <c r="AI5" i="35"/>
  <c r="K50" i="28"/>
  <c r="K64" i="28" s="1"/>
  <c r="K5" i="28"/>
  <c r="J44" i="37"/>
  <c r="J58" i="37" s="1"/>
  <c r="J5" i="37"/>
  <c r="X45" i="16"/>
  <c r="X59" i="16" s="1"/>
  <c r="X5" i="16"/>
  <c r="AH42" i="16"/>
  <c r="AH56" i="16" s="1"/>
  <c r="AH5" i="16"/>
  <c r="Y44" i="34"/>
  <c r="Y58" i="34" s="1"/>
  <c r="Y5" i="34"/>
  <c r="L46" i="36"/>
  <c r="L60" i="36" s="1"/>
  <c r="L5" i="36"/>
  <c r="L42" i="31"/>
  <c r="L56" i="31" s="1"/>
  <c r="L5" i="31"/>
  <c r="H45" i="35"/>
  <c r="H59" i="35" s="1"/>
  <c r="H5" i="35"/>
  <c r="K48" i="29"/>
  <c r="K62" i="29" s="1"/>
  <c r="K5" i="29"/>
  <c r="S50" i="35"/>
  <c r="S64" i="35" s="1"/>
  <c r="S5" i="35"/>
  <c r="AB50" i="35"/>
  <c r="AB64" i="35" s="1"/>
  <c r="AB5" i="35"/>
  <c r="Q45" i="31"/>
  <c r="Q59" i="31" s="1"/>
  <c r="Q5" i="31"/>
  <c r="AB49" i="30"/>
  <c r="AB63" i="30" s="1"/>
  <c r="AB5" i="30"/>
  <c r="AI49" i="30"/>
  <c r="AI63" i="30" s="1"/>
  <c r="AI5" i="30"/>
  <c r="AE42" i="34"/>
  <c r="AE56" i="34" s="1"/>
  <c r="AE5" i="34"/>
  <c r="B11" i="28"/>
  <c r="W48" i="36"/>
  <c r="W62" i="36" s="1"/>
  <c r="W47" i="36"/>
  <c r="W61" i="36" s="1"/>
  <c r="W46" i="36"/>
  <c r="W60" i="36" s="1"/>
  <c r="AG7" i="30"/>
  <c r="Z50" i="31"/>
  <c r="Z64" i="31" s="1"/>
  <c r="W44" i="36"/>
  <c r="W58" i="36" s="1"/>
  <c r="W42" i="36"/>
  <c r="W56" i="36" s="1"/>
  <c r="AF7" i="28"/>
  <c r="W49" i="36"/>
  <c r="W63" i="36" s="1"/>
  <c r="T7" i="28"/>
  <c r="AA7" i="30"/>
  <c r="W11" i="36"/>
  <c r="W7" i="36"/>
  <c r="W7" i="32"/>
  <c r="AC7" i="31"/>
  <c r="AF46" i="28"/>
  <c r="AF60" i="28" s="1"/>
  <c r="AF45" i="28"/>
  <c r="AF59" i="28" s="1"/>
  <c r="R7" i="31"/>
  <c r="AF7" i="35"/>
  <c r="AF11" i="28"/>
  <c r="W45" i="36"/>
  <c r="W59" i="36" s="1"/>
  <c r="AH7" i="35"/>
  <c r="Y42" i="34"/>
  <c r="Y56" i="34" s="1"/>
  <c r="AF7" i="34"/>
  <c r="W11" i="30"/>
  <c r="T11" i="31"/>
  <c r="T7" i="31"/>
  <c r="AF49" i="28"/>
  <c r="AF63" i="28" s="1"/>
  <c r="AF48" i="28"/>
  <c r="AF62" i="28" s="1"/>
  <c r="Q7" i="16"/>
  <c r="AF50" i="28"/>
  <c r="AF64" i="28" s="1"/>
  <c r="N7" i="32"/>
  <c r="AF47" i="28"/>
  <c r="AF61" i="28" s="1"/>
  <c r="O7" i="30"/>
  <c r="Y7" i="29"/>
  <c r="AG7" i="31"/>
  <c r="R11" i="30"/>
  <c r="R7" i="28"/>
  <c r="AJ12" i="31"/>
  <c r="AF11" i="32"/>
  <c r="Y7" i="34"/>
  <c r="AG11" i="31"/>
  <c r="AD7" i="31"/>
  <c r="Q7" i="31"/>
  <c r="AD7" i="36"/>
  <c r="Z45" i="31"/>
  <c r="Z59" i="31" s="1"/>
  <c r="Z49" i="31"/>
  <c r="Z63" i="31" s="1"/>
  <c r="O7" i="29"/>
  <c r="Z11" i="31"/>
  <c r="I7" i="30"/>
  <c r="I11" i="30"/>
  <c r="Z7" i="36"/>
  <c r="Q7" i="28"/>
  <c r="Z47" i="31"/>
  <c r="Z61" i="31" s="1"/>
  <c r="Z7" i="31"/>
  <c r="Z44" i="31"/>
  <c r="Z58" i="31" s="1"/>
  <c r="AC7" i="28"/>
  <c r="U7" i="31"/>
  <c r="Z42" i="31"/>
  <c r="Z56" i="31" s="1"/>
  <c r="AD7" i="32"/>
  <c r="Q7" i="34"/>
  <c r="Z7" i="35"/>
  <c r="M7" i="35"/>
  <c r="X7" i="36"/>
  <c r="T7" i="37"/>
  <c r="P71" i="40"/>
  <c r="C17" i="20" s="1"/>
  <c r="D17" i="20" s="1"/>
  <c r="Y48" i="34"/>
  <c r="Y62" i="34" s="1"/>
  <c r="J7" i="36"/>
  <c r="Y45" i="34"/>
  <c r="Y59" i="34" s="1"/>
  <c r="K7" i="16"/>
  <c r="AI7" i="37"/>
  <c r="O7" i="28"/>
  <c r="AJ12" i="36"/>
  <c r="L7" i="37"/>
  <c r="Y50" i="34"/>
  <c r="Y64" i="34" s="1"/>
  <c r="Y49" i="34"/>
  <c r="Y63" i="34" s="1"/>
  <c r="AC7" i="35"/>
  <c r="P7" i="28"/>
  <c r="Q11" i="31"/>
  <c r="X11" i="35"/>
  <c r="Y46" i="34"/>
  <c r="Y60" i="34" s="1"/>
  <c r="AH7" i="32"/>
  <c r="Y11" i="34"/>
  <c r="AG42" i="31"/>
  <c r="AG56" i="31" s="1"/>
  <c r="Q46" i="31"/>
  <c r="Q60" i="31" s="1"/>
  <c r="AG45" i="31"/>
  <c r="AG59" i="31" s="1"/>
  <c r="Q49" i="31"/>
  <c r="Q63" i="31" s="1"/>
  <c r="AG49" i="31"/>
  <c r="AG63" i="31" s="1"/>
  <c r="AG48" i="31"/>
  <c r="AG62" i="31" s="1"/>
  <c r="Q44" i="31"/>
  <c r="Q58" i="31" s="1"/>
  <c r="AG47" i="31"/>
  <c r="AG61" i="31" s="1"/>
  <c r="Q42" i="31"/>
  <c r="Q56" i="31" s="1"/>
  <c r="Q48" i="31"/>
  <c r="Q62" i="31" s="1"/>
  <c r="Q50" i="31"/>
  <c r="Q64" i="31" s="1"/>
  <c r="AG46" i="31"/>
  <c r="AG60" i="31" s="1"/>
  <c r="Q47" i="31"/>
  <c r="Q61" i="31" s="1"/>
  <c r="AG50" i="31"/>
  <c r="AG64" i="31" s="1"/>
  <c r="D5" i="20"/>
  <c r="N22" i="1"/>
  <c r="N23" i="1"/>
  <c r="T48" i="31"/>
  <c r="T62" i="31" s="1"/>
  <c r="J22" i="1"/>
  <c r="Z46" i="31"/>
  <c r="Z60" i="31" s="1"/>
  <c r="Y47" i="34"/>
  <c r="Y61" i="34" s="1"/>
  <c r="AB42" i="35"/>
  <c r="AB56" i="35" s="1"/>
  <c r="J46" i="37"/>
  <c r="J60" i="37" s="1"/>
  <c r="AG7" i="33"/>
  <c r="V7" i="31"/>
  <c r="I7" i="34"/>
  <c r="AF11" i="31"/>
  <c r="AF7" i="36"/>
  <c r="AF11" i="36"/>
  <c r="V7" i="30"/>
  <c r="I11" i="31"/>
  <c r="M7" i="16"/>
  <c r="R7" i="16"/>
  <c r="V11" i="35"/>
  <c r="AB7" i="29"/>
  <c r="AD7" i="30"/>
  <c r="M7" i="31"/>
  <c r="AB7" i="31"/>
  <c r="AB11" i="31"/>
  <c r="Z7" i="30"/>
  <c r="AG7" i="28"/>
  <c r="AH11" i="31"/>
  <c r="I7" i="37"/>
  <c r="O11" i="36"/>
  <c r="U7" i="36"/>
  <c r="U11" i="36"/>
  <c r="O7" i="31"/>
  <c r="N7" i="31"/>
  <c r="N11" i="31"/>
  <c r="N7" i="37"/>
  <c r="L16" i="27"/>
  <c r="W7" i="28"/>
  <c r="Y11" i="36"/>
  <c r="T7" i="36"/>
  <c r="T11" i="36"/>
  <c r="AD48" i="35"/>
  <c r="AD62" i="35" s="1"/>
  <c r="K49" i="30"/>
  <c r="K63" i="30" s="1"/>
  <c r="AA47" i="35"/>
  <c r="AA61" i="35" s="1"/>
  <c r="K47" i="30"/>
  <c r="K61" i="30" s="1"/>
  <c r="T49" i="36"/>
  <c r="T63" i="36" s="1"/>
  <c r="L50" i="35"/>
  <c r="L64" i="35" s="1"/>
  <c r="M47" i="28"/>
  <c r="M61" i="28" s="1"/>
  <c r="AD49" i="35"/>
  <c r="AD63" i="35" s="1"/>
  <c r="I50" i="28"/>
  <c r="I64" i="28" s="1"/>
  <c r="L45" i="35"/>
  <c r="L59" i="35" s="1"/>
  <c r="L49" i="35"/>
  <c r="L63" i="35" s="1"/>
  <c r="AI50" i="30"/>
  <c r="AI64" i="30" s="1"/>
  <c r="M50" i="28"/>
  <c r="M64" i="28" s="1"/>
  <c r="AI42" i="30"/>
  <c r="AI56" i="30" s="1"/>
  <c r="AI44" i="30"/>
  <c r="AI58" i="30" s="1"/>
  <c r="M44" i="28"/>
  <c r="M58" i="28" s="1"/>
  <c r="AH45" i="16"/>
  <c r="AH59" i="16" s="1"/>
  <c r="Y44" i="35"/>
  <c r="Y58" i="35" s="1"/>
  <c r="Y49" i="35"/>
  <c r="Y63" i="35" s="1"/>
  <c r="Y46" i="35"/>
  <c r="Y60" i="35" s="1"/>
  <c r="Y42" i="35"/>
  <c r="Y56" i="35" s="1"/>
  <c r="S45" i="35"/>
  <c r="S59" i="35" s="1"/>
  <c r="AI45" i="30"/>
  <c r="AI59" i="30" s="1"/>
  <c r="H48" i="35"/>
  <c r="H62" i="35" s="1"/>
  <c r="X46" i="16"/>
  <c r="X60" i="16" s="1"/>
  <c r="AB46" i="30"/>
  <c r="AB60" i="30" s="1"/>
  <c r="U49" i="36"/>
  <c r="U63" i="36" s="1"/>
  <c r="AB44" i="30"/>
  <c r="AB58" i="30" s="1"/>
  <c r="U44" i="36"/>
  <c r="U58" i="36" s="1"/>
  <c r="AB47" i="30"/>
  <c r="AB61" i="30" s="1"/>
  <c r="M45" i="28"/>
  <c r="M59" i="28" s="1"/>
  <c r="AI46" i="30"/>
  <c r="AI60" i="30" s="1"/>
  <c r="AD47" i="35"/>
  <c r="AD61" i="35" s="1"/>
  <c r="AA50" i="35"/>
  <c r="AA64" i="35" s="1"/>
  <c r="S44" i="35"/>
  <c r="S58" i="35" s="1"/>
  <c r="L44" i="35"/>
  <c r="L58" i="35" s="1"/>
  <c r="AD46" i="35"/>
  <c r="AD60" i="35" s="1"/>
  <c r="U45" i="36"/>
  <c r="U59" i="36" s="1"/>
  <c r="AB45" i="35"/>
  <c r="AB59" i="35" s="1"/>
  <c r="AB49" i="35"/>
  <c r="AB63" i="35" s="1"/>
  <c r="AA45" i="35"/>
  <c r="AA59" i="35" s="1"/>
  <c r="AB44" i="35"/>
  <c r="AB58" i="35" s="1"/>
  <c r="S48" i="35"/>
  <c r="S62" i="35" s="1"/>
  <c r="L48" i="35"/>
  <c r="L62" i="35" s="1"/>
  <c r="AA49" i="35"/>
  <c r="AA63" i="35" s="1"/>
  <c r="AB48" i="35"/>
  <c r="AB62" i="35" s="1"/>
  <c r="AA42" i="35"/>
  <c r="AA56" i="35" s="1"/>
  <c r="L47" i="35"/>
  <c r="L61" i="35" s="1"/>
  <c r="AD45" i="35"/>
  <c r="AD59" i="35" s="1"/>
  <c r="AA44" i="35"/>
  <c r="AA58" i="35" s="1"/>
  <c r="AD42" i="35"/>
  <c r="AD56" i="35" s="1"/>
  <c r="S42" i="35"/>
  <c r="S56" i="35" s="1"/>
  <c r="S47" i="35"/>
  <c r="S61" i="35" s="1"/>
  <c r="L46" i="35"/>
  <c r="L60" i="35" s="1"/>
  <c r="M42" i="28"/>
  <c r="M56" i="28" s="1"/>
  <c r="S49" i="35"/>
  <c r="S63" i="35" s="1"/>
  <c r="AB47" i="35"/>
  <c r="AB61" i="35" s="1"/>
  <c r="AB46" i="35"/>
  <c r="AB60" i="35" s="1"/>
  <c r="K50" i="29"/>
  <c r="K64" i="29" s="1"/>
  <c r="K49" i="29"/>
  <c r="K63" i="29" s="1"/>
  <c r="AD44" i="35"/>
  <c r="AD58" i="35" s="1"/>
  <c r="U47" i="36"/>
  <c r="U61" i="36" s="1"/>
  <c r="U46" i="36"/>
  <c r="U60" i="36" s="1"/>
  <c r="N45" i="35"/>
  <c r="N59" i="35" s="1"/>
  <c r="N49" i="35"/>
  <c r="N63" i="35" s="1"/>
  <c r="AB11" i="28"/>
  <c r="J47" i="37"/>
  <c r="J61" i="37" s="1"/>
  <c r="I44" i="30"/>
  <c r="I58" i="30" s="1"/>
  <c r="I46" i="30"/>
  <c r="I60" i="30" s="1"/>
  <c r="U11" i="28"/>
  <c r="AB7" i="30"/>
  <c r="AB11" i="30"/>
  <c r="J42" i="37"/>
  <c r="J56" i="37" s="1"/>
  <c r="AC45" i="29"/>
  <c r="AC59" i="29" s="1"/>
  <c r="AB7" i="16"/>
  <c r="S7" i="29"/>
  <c r="AH11" i="28"/>
  <c r="AD7" i="35"/>
  <c r="AD11" i="35"/>
  <c r="W11" i="31"/>
  <c r="X11" i="31"/>
  <c r="J50" i="37"/>
  <c r="J64" i="37" s="1"/>
  <c r="AC49" i="29"/>
  <c r="AC63" i="29" s="1"/>
  <c r="AJ12" i="28"/>
  <c r="I49" i="30"/>
  <c r="I63" i="30" s="1"/>
  <c r="J7" i="28"/>
  <c r="Y7" i="32"/>
  <c r="Y11" i="32"/>
  <c r="U42" i="36"/>
  <c r="U56" i="36" s="1"/>
  <c r="U50" i="36"/>
  <c r="U64" i="36" s="1"/>
  <c r="J45" i="37"/>
  <c r="J59" i="37" s="1"/>
  <c r="Z7" i="28"/>
  <c r="Z11" i="28"/>
  <c r="U11" i="35"/>
  <c r="J49" i="37"/>
  <c r="J63" i="37" s="1"/>
  <c r="AI7" i="28"/>
  <c r="X7" i="29"/>
  <c r="K7" i="28"/>
  <c r="K11" i="28"/>
  <c r="J48" i="37"/>
  <c r="J62" i="37" s="1"/>
  <c r="X7" i="28"/>
  <c r="Z7" i="29"/>
  <c r="N11" i="28"/>
  <c r="K48" i="28"/>
  <c r="K62" i="28" s="1"/>
  <c r="K44" i="28"/>
  <c r="K58" i="28" s="1"/>
  <c r="I26" i="1"/>
  <c r="N45" i="31"/>
  <c r="N59" i="31" s="1"/>
  <c r="T46" i="31"/>
  <c r="T60" i="31" s="1"/>
  <c r="AC44" i="29"/>
  <c r="AC58" i="29" s="1"/>
  <c r="N49" i="31"/>
  <c r="N63" i="31" s="1"/>
  <c r="T45" i="31"/>
  <c r="T59" i="31" s="1"/>
  <c r="K42" i="28"/>
  <c r="K56" i="28" s="1"/>
  <c r="AC42" i="29"/>
  <c r="AC56" i="29" s="1"/>
  <c r="N42" i="31"/>
  <c r="N56" i="31" s="1"/>
  <c r="N47" i="31"/>
  <c r="N61" i="31" s="1"/>
  <c r="T44" i="31"/>
  <c r="T58" i="31" s="1"/>
  <c r="T47" i="31"/>
  <c r="T61" i="31" s="1"/>
  <c r="AC46" i="29"/>
  <c r="AC60" i="29" s="1"/>
  <c r="AC47" i="29"/>
  <c r="AC61" i="29" s="1"/>
  <c r="N46" i="31"/>
  <c r="N60" i="31" s="1"/>
  <c r="T42" i="31"/>
  <c r="T56" i="31" s="1"/>
  <c r="AH50" i="16"/>
  <c r="AH64" i="16" s="1"/>
  <c r="AC50" i="29"/>
  <c r="AC64" i="29" s="1"/>
  <c r="T50" i="31"/>
  <c r="T64" i="31" s="1"/>
  <c r="AH48" i="16"/>
  <c r="AH62" i="16" s="1"/>
  <c r="AH47" i="16"/>
  <c r="AH61" i="16" s="1"/>
  <c r="L42" i="36"/>
  <c r="L56" i="36" s="1"/>
  <c r="AA7" i="31"/>
  <c r="AA11" i="31"/>
  <c r="K7" i="32"/>
  <c r="K11" i="32"/>
  <c r="K11" i="31"/>
  <c r="M11" i="32"/>
  <c r="AH49" i="16"/>
  <c r="AH63" i="16" s="1"/>
  <c r="R7" i="29"/>
  <c r="AI7" i="31"/>
  <c r="AI11" i="31"/>
  <c r="S11" i="36"/>
  <c r="AH7" i="37"/>
  <c r="Q7" i="30"/>
  <c r="Q11" i="30"/>
  <c r="L7" i="35"/>
  <c r="L11" i="35"/>
  <c r="N21" i="1"/>
  <c r="AI7" i="36"/>
  <c r="AI11" i="36"/>
  <c r="AJ12" i="34"/>
  <c r="AI7" i="30"/>
  <c r="AI11" i="30"/>
  <c r="Y7" i="35"/>
  <c r="Y11" i="35"/>
  <c r="L11" i="28"/>
  <c r="AH46" i="16"/>
  <c r="AH60" i="16" s="1"/>
  <c r="AI7" i="29"/>
  <c r="X7" i="30"/>
  <c r="P11" i="31"/>
  <c r="O7" i="35"/>
  <c r="O11" i="35"/>
  <c r="T11" i="30"/>
  <c r="AE7" i="28"/>
  <c r="AE11" i="28"/>
  <c r="K7" i="31"/>
  <c r="H11" i="31"/>
  <c r="B11" i="31"/>
  <c r="R11" i="35"/>
  <c r="AC7" i="29"/>
  <c r="AC11" i="29"/>
  <c r="S7" i="35"/>
  <c r="S11" i="35"/>
  <c r="M7" i="32"/>
  <c r="S11" i="31"/>
  <c r="AA7" i="35"/>
  <c r="AA11" i="35"/>
  <c r="AB7" i="35"/>
  <c r="AB11" i="35"/>
  <c r="X47" i="16"/>
  <c r="X61" i="16" s="1"/>
  <c r="K49" i="28"/>
  <c r="K63" i="28" s="1"/>
  <c r="X44" i="16"/>
  <c r="X58" i="16" s="1"/>
  <c r="X50" i="16"/>
  <c r="X64" i="16" s="1"/>
  <c r="X42" i="16"/>
  <c r="X56" i="16" s="1"/>
  <c r="X48" i="16"/>
  <c r="X62" i="16" s="1"/>
  <c r="X49" i="16"/>
  <c r="X63" i="16" s="1"/>
  <c r="K47" i="34"/>
  <c r="K61" i="34" s="1"/>
  <c r="K48" i="34"/>
  <c r="K62" i="34" s="1"/>
  <c r="K44" i="34"/>
  <c r="K58" i="34" s="1"/>
  <c r="K42" i="34"/>
  <c r="K56" i="34" s="1"/>
  <c r="K50" i="34"/>
  <c r="K64" i="34" s="1"/>
  <c r="K49" i="34"/>
  <c r="K63" i="34" s="1"/>
  <c r="K46" i="34"/>
  <c r="K60" i="34" s="1"/>
  <c r="K45" i="34"/>
  <c r="K59" i="34" s="1"/>
  <c r="H49" i="35"/>
  <c r="H63" i="35" s="1"/>
  <c r="K7" i="29"/>
  <c r="K11" i="29"/>
  <c r="AI42" i="36"/>
  <c r="AI56" i="36" s="1"/>
  <c r="AI47" i="36"/>
  <c r="AI61" i="36" s="1"/>
  <c r="AI48" i="36"/>
  <c r="AI62" i="36" s="1"/>
  <c r="AI49" i="36"/>
  <c r="AI63" i="36" s="1"/>
  <c r="AI50" i="36"/>
  <c r="AI64" i="36" s="1"/>
  <c r="AI44" i="36"/>
  <c r="AI58" i="36" s="1"/>
  <c r="AI45" i="36"/>
  <c r="AI59" i="36" s="1"/>
  <c r="AI46" i="36"/>
  <c r="AI60" i="36" s="1"/>
  <c r="N48" i="31"/>
  <c r="N62" i="31" s="1"/>
  <c r="N50" i="31"/>
  <c r="N64" i="31" s="1"/>
  <c r="H47" i="35"/>
  <c r="H61" i="35" s="1"/>
  <c r="H46" i="35"/>
  <c r="H60" i="35" s="1"/>
  <c r="K47" i="28"/>
  <c r="K61" i="28" s="1"/>
  <c r="W7" i="35"/>
  <c r="W11" i="35"/>
  <c r="J11" i="31"/>
  <c r="U11" i="30"/>
  <c r="U7" i="30"/>
  <c r="K46" i="28"/>
  <c r="K60" i="28" s="1"/>
  <c r="AC7" i="16"/>
  <c r="AC11" i="16"/>
  <c r="AH7" i="16"/>
  <c r="AH11" i="16"/>
  <c r="T7" i="34"/>
  <c r="T11" i="34"/>
  <c r="K45" i="28"/>
  <c r="K59" i="28" s="1"/>
  <c r="T11" i="32"/>
  <c r="Y7" i="31"/>
  <c r="Y11" i="31"/>
  <c r="O11" i="34"/>
  <c r="O11" i="16"/>
  <c r="AE11" i="31"/>
  <c r="AB7" i="34"/>
  <c r="AD7" i="34"/>
  <c r="AD11" i="34"/>
  <c r="I42" i="30"/>
  <c r="I56" i="30" s="1"/>
  <c r="I45" i="30"/>
  <c r="I59" i="30" s="1"/>
  <c r="I48" i="30"/>
  <c r="I62" i="30" s="1"/>
  <c r="I50" i="30"/>
  <c r="I64" i="30" s="1"/>
  <c r="I11" i="32"/>
  <c r="L11" i="16"/>
  <c r="L7" i="30"/>
  <c r="L11" i="30"/>
  <c r="AI50" i="34"/>
  <c r="AI64" i="34" s="1"/>
  <c r="AI46" i="34"/>
  <c r="AI60" i="34" s="1"/>
  <c r="I46" i="28"/>
  <c r="I60" i="28" s="1"/>
  <c r="I47" i="28"/>
  <c r="I61" i="28" s="1"/>
  <c r="K50" i="30"/>
  <c r="K64" i="30" s="1"/>
  <c r="K42" i="30"/>
  <c r="K56" i="30" s="1"/>
  <c r="K44" i="30"/>
  <c r="K58" i="30" s="1"/>
  <c r="K48" i="30"/>
  <c r="K62" i="30" s="1"/>
  <c r="L46" i="31"/>
  <c r="L60" i="31" s="1"/>
  <c r="AG7" i="34"/>
  <c r="AG11" i="34"/>
  <c r="J11" i="34"/>
  <c r="J7" i="34"/>
  <c r="AE50" i="28"/>
  <c r="AE64" i="28" s="1"/>
  <c r="AE46" i="28"/>
  <c r="AE60" i="28" s="1"/>
  <c r="AE49" i="28"/>
  <c r="AE63" i="28" s="1"/>
  <c r="AE48" i="28"/>
  <c r="AE62" i="28" s="1"/>
  <c r="AE44" i="28"/>
  <c r="AE58" i="28" s="1"/>
  <c r="AE47" i="28"/>
  <c r="AE61" i="28" s="1"/>
  <c r="AE42" i="28"/>
  <c r="AE56" i="28" s="1"/>
  <c r="AF7" i="37"/>
  <c r="AF11" i="37"/>
  <c r="Q7" i="37"/>
  <c r="Q11" i="37"/>
  <c r="V11" i="32"/>
  <c r="V7" i="32"/>
  <c r="V7" i="28"/>
  <c r="V11" i="28"/>
  <c r="Y7" i="16"/>
  <c r="Y11" i="16"/>
  <c r="O46" i="35"/>
  <c r="O60" i="35" s="1"/>
  <c r="O50" i="35"/>
  <c r="O64" i="35" s="1"/>
  <c r="O42" i="35"/>
  <c r="O56" i="35" s="1"/>
  <c r="O45" i="35"/>
  <c r="O59" i="35" s="1"/>
  <c r="O49" i="35"/>
  <c r="O63" i="35" s="1"/>
  <c r="O47" i="35"/>
  <c r="O61" i="35" s="1"/>
  <c r="AJ12" i="16"/>
  <c r="AJ9" i="16" s="1"/>
  <c r="AI7" i="16"/>
  <c r="AI11" i="16"/>
  <c r="S7" i="28"/>
  <c r="S11" i="28"/>
  <c r="AF7" i="30"/>
  <c r="AF11" i="30"/>
  <c r="AA11" i="37"/>
  <c r="AA7" i="37"/>
  <c r="AI44" i="34"/>
  <c r="AI58" i="34" s="1"/>
  <c r="AI48" i="34"/>
  <c r="AI62" i="34" s="1"/>
  <c r="K46" i="30"/>
  <c r="K60" i="30" s="1"/>
  <c r="I11" i="16"/>
  <c r="I7" i="16"/>
  <c r="Q7" i="36"/>
  <c r="Q11" i="36"/>
  <c r="X7" i="34"/>
  <c r="X11" i="34"/>
  <c r="V7" i="34"/>
  <c r="V11" i="34"/>
  <c r="AI48" i="30"/>
  <c r="AI62" i="30" s="1"/>
  <c r="AI47" i="30"/>
  <c r="AI61" i="30" s="1"/>
  <c r="S7" i="37"/>
  <c r="S11" i="37"/>
  <c r="AC7" i="37"/>
  <c r="AC11" i="37"/>
  <c r="AE7" i="30"/>
  <c r="AE11" i="30"/>
  <c r="S11" i="30"/>
  <c r="S7" i="30"/>
  <c r="L50" i="31"/>
  <c r="L64" i="31" s="1"/>
  <c r="L45" i="31"/>
  <c r="L59" i="31" s="1"/>
  <c r="L47" i="31"/>
  <c r="L61" i="31" s="1"/>
  <c r="L48" i="31"/>
  <c r="L62" i="31" s="1"/>
  <c r="L49" i="31"/>
  <c r="L63" i="31" s="1"/>
  <c r="AI45" i="34"/>
  <c r="AI59" i="34" s="1"/>
  <c r="AE46" i="34"/>
  <c r="AE60" i="34" s="1"/>
  <c r="L44" i="31"/>
  <c r="L58" i="31" s="1"/>
  <c r="T50" i="36"/>
  <c r="T64" i="36" s="1"/>
  <c r="T42" i="36"/>
  <c r="T56" i="36" s="1"/>
  <c r="T47" i="36"/>
  <c r="T61" i="36" s="1"/>
  <c r="S11" i="16"/>
  <c r="S46" i="35"/>
  <c r="S60" i="35" s="1"/>
  <c r="AC7" i="32"/>
  <c r="AC11" i="32"/>
  <c r="K44" i="29"/>
  <c r="K58" i="29" s="1"/>
  <c r="K45" i="29"/>
  <c r="K59" i="29" s="1"/>
  <c r="K42" i="29"/>
  <c r="K56" i="29" s="1"/>
  <c r="K46" i="29"/>
  <c r="K60" i="29" s="1"/>
  <c r="K47" i="29"/>
  <c r="K61" i="29" s="1"/>
  <c r="S11" i="32"/>
  <c r="S7" i="32"/>
  <c r="Y48" i="35"/>
  <c r="Y62" i="35" s="1"/>
  <c r="Y47" i="35"/>
  <c r="Y61" i="35" s="1"/>
  <c r="Y45" i="35"/>
  <c r="Y59" i="35" s="1"/>
  <c r="AI7" i="32"/>
  <c r="AI11" i="32"/>
  <c r="AJ12" i="32"/>
  <c r="AD11" i="28"/>
  <c r="Y11" i="37"/>
  <c r="Y7" i="37"/>
  <c r="J7" i="30"/>
  <c r="J11" i="30"/>
  <c r="AD7" i="33"/>
  <c r="AD11" i="33"/>
  <c r="O48" i="35"/>
  <c r="O62" i="35" s="1"/>
  <c r="U7" i="16"/>
  <c r="U11" i="16"/>
  <c r="AG7" i="36"/>
  <c r="AG11" i="36"/>
  <c r="AA7" i="32"/>
  <c r="AA11" i="32"/>
  <c r="Y7" i="28"/>
  <c r="Y11" i="28"/>
  <c r="O11" i="32"/>
  <c r="Q7" i="35"/>
  <c r="Q11" i="35"/>
  <c r="AB7" i="32"/>
  <c r="AB11" i="32"/>
  <c r="AA7" i="28"/>
  <c r="AA11" i="28"/>
  <c r="N7" i="30"/>
  <c r="N11" i="30"/>
  <c r="AA7" i="34"/>
  <c r="AA11" i="34"/>
  <c r="AI7" i="34"/>
  <c r="AI11" i="34"/>
  <c r="AC7" i="30"/>
  <c r="AC11" i="30"/>
  <c r="AE7" i="37"/>
  <c r="AE11" i="37"/>
  <c r="AG7" i="37"/>
  <c r="AG11" i="37"/>
  <c r="AD7" i="16"/>
  <c r="AD11" i="16"/>
  <c r="J7" i="16"/>
  <c r="J11" i="16"/>
  <c r="W11" i="16"/>
  <c r="AA46" i="35"/>
  <c r="AA60" i="35" s="1"/>
  <c r="AG11" i="32"/>
  <c r="J7" i="35"/>
  <c r="J11" i="35"/>
  <c r="I7" i="36"/>
  <c r="I11" i="36"/>
  <c r="AA11" i="33"/>
  <c r="AH7" i="34"/>
  <c r="AH11" i="34"/>
  <c r="S7" i="34"/>
  <c r="S11" i="34"/>
  <c r="P7" i="34"/>
  <c r="P11" i="34"/>
  <c r="AD7" i="37"/>
  <c r="AD11" i="37"/>
  <c r="Z7" i="37"/>
  <c r="Z11" i="37"/>
  <c r="Y7" i="30"/>
  <c r="Y11" i="30"/>
  <c r="M46" i="28"/>
  <c r="M60" i="28" s="1"/>
  <c r="M48" i="28"/>
  <c r="M62" i="28" s="1"/>
  <c r="Q7" i="32"/>
  <c r="Q11" i="32"/>
  <c r="H7" i="32"/>
  <c r="B11" i="32"/>
  <c r="H11" i="32"/>
  <c r="AG7" i="35"/>
  <c r="AG11" i="35"/>
  <c r="H7" i="36"/>
  <c r="B11" i="36"/>
  <c r="H11" i="36"/>
  <c r="N7" i="35"/>
  <c r="N11" i="35"/>
  <c r="V7" i="36"/>
  <c r="V11" i="36"/>
  <c r="AE7" i="35"/>
  <c r="AE11" i="35"/>
  <c r="P7" i="36"/>
  <c r="P11" i="36"/>
  <c r="AE11" i="29"/>
  <c r="O11" i="33"/>
  <c r="AC7" i="34"/>
  <c r="AC11" i="34"/>
  <c r="AE7" i="34"/>
  <c r="AE11" i="34"/>
  <c r="N7" i="34"/>
  <c r="N11" i="34"/>
  <c r="U7" i="37"/>
  <c r="U11" i="37"/>
  <c r="O11" i="37"/>
  <c r="U7" i="32"/>
  <c r="U11" i="32"/>
  <c r="V7" i="16"/>
  <c r="V11" i="16"/>
  <c r="L7" i="32"/>
  <c r="L11" i="32"/>
  <c r="T7" i="16"/>
  <c r="T11" i="16"/>
  <c r="N7" i="36"/>
  <c r="N11" i="36"/>
  <c r="P7" i="35"/>
  <c r="P11" i="35"/>
  <c r="AB7" i="36"/>
  <c r="AB11" i="36"/>
  <c r="H7" i="16"/>
  <c r="H11" i="16"/>
  <c r="B11" i="16"/>
  <c r="AA7" i="36"/>
  <c r="AA11" i="36"/>
  <c r="H44" i="35"/>
  <c r="H58" i="35" s="1"/>
  <c r="H50" i="35"/>
  <c r="H64" i="35" s="1"/>
  <c r="AH7" i="30"/>
  <c r="AH11" i="30"/>
  <c r="P7" i="37"/>
  <c r="P11" i="37"/>
  <c r="U7" i="34"/>
  <c r="U11" i="34"/>
  <c r="Z11" i="34"/>
  <c r="R7" i="37"/>
  <c r="R11" i="37"/>
  <c r="W7" i="34"/>
  <c r="W11" i="34"/>
  <c r="X11" i="32"/>
  <c r="AG7" i="16"/>
  <c r="AG11" i="16"/>
  <c r="R7" i="32"/>
  <c r="R11" i="32"/>
  <c r="R7" i="36"/>
  <c r="R11" i="36"/>
  <c r="T7" i="35"/>
  <c r="T11" i="35"/>
  <c r="AE7" i="36"/>
  <c r="AE11" i="36"/>
  <c r="AC11" i="36"/>
  <c r="V7" i="37"/>
  <c r="V11" i="37"/>
  <c r="M7" i="34"/>
  <c r="M11" i="34"/>
  <c r="K7" i="34"/>
  <c r="K11" i="34"/>
  <c r="K11" i="37"/>
  <c r="AE11" i="32"/>
  <c r="I7" i="35"/>
  <c r="I11" i="35"/>
  <c r="Z11" i="32"/>
  <c r="AH7" i="36"/>
  <c r="AH11" i="36"/>
  <c r="K7" i="35"/>
  <c r="K11" i="35"/>
  <c r="AF7" i="16"/>
  <c r="AF11" i="16"/>
  <c r="I7" i="28"/>
  <c r="I11" i="28"/>
  <c r="P7" i="30"/>
  <c r="P11" i="30"/>
  <c r="W7" i="37"/>
  <c r="W11" i="37"/>
  <c r="H11" i="34"/>
  <c r="B11" i="34"/>
  <c r="R11" i="34"/>
  <c r="X7" i="37"/>
  <c r="X11" i="37"/>
  <c r="AB7" i="37"/>
  <c r="AB11" i="37"/>
  <c r="N7" i="16"/>
  <c r="N11" i="16"/>
  <c r="M7" i="33"/>
  <c r="M11" i="33"/>
  <c r="AE7" i="38"/>
  <c r="AE11" i="38"/>
  <c r="L50" i="36"/>
  <c r="L64" i="36" s="1"/>
  <c r="P7" i="16"/>
  <c r="P11" i="16"/>
  <c r="T7" i="33"/>
  <c r="T11" i="33"/>
  <c r="P7" i="33"/>
  <c r="P11" i="33"/>
  <c r="AE7" i="33"/>
  <c r="AE11" i="33"/>
  <c r="AD47" i="34"/>
  <c r="AD61" i="34" s="1"/>
  <c r="AD48" i="34"/>
  <c r="AD62" i="34" s="1"/>
  <c r="AD45" i="34"/>
  <c r="AD59" i="34" s="1"/>
  <c r="AD50" i="34"/>
  <c r="AD64" i="34" s="1"/>
  <c r="AD42" i="34"/>
  <c r="AD56" i="34" s="1"/>
  <c r="AD44" i="34"/>
  <c r="AD58" i="34" s="1"/>
  <c r="AD46" i="34"/>
  <c r="AD60" i="34" s="1"/>
  <c r="AD49" i="34"/>
  <c r="AD63" i="34" s="1"/>
  <c r="L7" i="38"/>
  <c r="L11" i="38"/>
  <c r="V7" i="38"/>
  <c r="V11" i="38"/>
  <c r="R7" i="38"/>
  <c r="R11" i="38"/>
  <c r="N7" i="29"/>
  <c r="N11" i="29"/>
  <c r="V7" i="29"/>
  <c r="V11" i="29"/>
  <c r="N49" i="30"/>
  <c r="N63" i="30" s="1"/>
  <c r="N50" i="30"/>
  <c r="N64" i="30" s="1"/>
  <c r="N44" i="30"/>
  <c r="N58" i="30" s="1"/>
  <c r="N42" i="30"/>
  <c r="N56" i="30" s="1"/>
  <c r="N45" i="30"/>
  <c r="N59" i="30" s="1"/>
  <c r="N47" i="30"/>
  <c r="N61" i="30" s="1"/>
  <c r="N48" i="30"/>
  <c r="N62" i="30" s="1"/>
  <c r="N46" i="30"/>
  <c r="N60" i="30" s="1"/>
  <c r="H7" i="38"/>
  <c r="H11" i="38"/>
  <c r="B11" i="38"/>
  <c r="L45" i="36"/>
  <c r="L59" i="36" s="1"/>
  <c r="Z7" i="16"/>
  <c r="Z11" i="16"/>
  <c r="N46" i="35"/>
  <c r="N60" i="35" s="1"/>
  <c r="N47" i="35"/>
  <c r="N61" i="35" s="1"/>
  <c r="N48" i="35"/>
  <c r="N62" i="35" s="1"/>
  <c r="N50" i="35"/>
  <c r="N64" i="35" s="1"/>
  <c r="N42" i="35"/>
  <c r="N56" i="35" s="1"/>
  <c r="N44" i="35"/>
  <c r="N58" i="35" s="1"/>
  <c r="R7" i="33"/>
  <c r="R11" i="33"/>
  <c r="AJ12" i="33"/>
  <c r="AJ9" i="33" s="1"/>
  <c r="AI7" i="33"/>
  <c r="AI11" i="33"/>
  <c r="AC7" i="33"/>
  <c r="AC11" i="33"/>
  <c r="AE50" i="34"/>
  <c r="AE64" i="34" s="1"/>
  <c r="AE45" i="34"/>
  <c r="AE59" i="34" s="1"/>
  <c r="AE47" i="34"/>
  <c r="AE61" i="34" s="1"/>
  <c r="AE48" i="34"/>
  <c r="AE62" i="34" s="1"/>
  <c r="AE49" i="34"/>
  <c r="AE63" i="34" s="1"/>
  <c r="AE44" i="34"/>
  <c r="AE58" i="34" s="1"/>
  <c r="T48" i="36"/>
  <c r="T62" i="36" s="1"/>
  <c r="T46" i="36"/>
  <c r="T60" i="36" s="1"/>
  <c r="T44" i="36"/>
  <c r="T58" i="36" s="1"/>
  <c r="P46" i="37"/>
  <c r="P60" i="37" s="1"/>
  <c r="P47" i="37"/>
  <c r="P61" i="37" s="1"/>
  <c r="P48" i="37"/>
  <c r="P62" i="37" s="1"/>
  <c r="P44" i="37"/>
  <c r="P58" i="37" s="1"/>
  <c r="P49" i="37"/>
  <c r="P63" i="37" s="1"/>
  <c r="P45" i="37"/>
  <c r="P59" i="37" s="1"/>
  <c r="P42" i="37"/>
  <c r="P56" i="37" s="1"/>
  <c r="P50" i="37"/>
  <c r="P64" i="37" s="1"/>
  <c r="AD7" i="38"/>
  <c r="AD11" i="38"/>
  <c r="J7" i="38"/>
  <c r="J11" i="38"/>
  <c r="M7" i="38"/>
  <c r="M11" i="38"/>
  <c r="O7" i="38"/>
  <c r="O11" i="38"/>
  <c r="AH7" i="29"/>
  <c r="AH11" i="29"/>
  <c r="AA7" i="29"/>
  <c r="AA11" i="29"/>
  <c r="L13" i="27"/>
  <c r="L49" i="36"/>
  <c r="L63" i="36" s="1"/>
  <c r="AE7" i="16"/>
  <c r="AE11" i="16"/>
  <c r="AH44" i="16"/>
  <c r="AH58" i="16" s="1"/>
  <c r="L7" i="33"/>
  <c r="L11" i="33"/>
  <c r="X7" i="33"/>
  <c r="X11" i="33"/>
  <c r="W7" i="33"/>
  <c r="W11" i="33"/>
  <c r="AH7" i="38"/>
  <c r="AH11" i="38"/>
  <c r="AC7" i="38"/>
  <c r="AC11" i="38"/>
  <c r="AG7" i="38"/>
  <c r="AG11" i="38"/>
  <c r="K7" i="38"/>
  <c r="K11" i="38"/>
  <c r="M7" i="29"/>
  <c r="M11" i="29"/>
  <c r="AF7" i="29"/>
  <c r="AF11" i="29"/>
  <c r="I7" i="29"/>
  <c r="I11" i="29"/>
  <c r="Q7" i="29"/>
  <c r="Q11" i="29"/>
  <c r="L6" i="27"/>
  <c r="L44" i="36"/>
  <c r="L58" i="36" s="1"/>
  <c r="AA7" i="16"/>
  <c r="AA11" i="16"/>
  <c r="I1" i="16"/>
  <c r="I7" i="33"/>
  <c r="I11" i="33"/>
  <c r="N7" i="33"/>
  <c r="N11" i="33"/>
  <c r="Q7" i="33"/>
  <c r="Q11" i="33"/>
  <c r="I46" i="36"/>
  <c r="I60" i="36" s="1"/>
  <c r="I45" i="36"/>
  <c r="I59" i="36" s="1"/>
  <c r="I49" i="36"/>
  <c r="I63" i="36" s="1"/>
  <c r="I50" i="36"/>
  <c r="I64" i="36" s="1"/>
  <c r="I48" i="36"/>
  <c r="I62" i="36" s="1"/>
  <c r="I42" i="36"/>
  <c r="I56" i="36" s="1"/>
  <c r="I44" i="36"/>
  <c r="I58" i="36" s="1"/>
  <c r="I48" i="28"/>
  <c r="I62" i="28" s="1"/>
  <c r="I42" i="28"/>
  <c r="I56" i="28" s="1"/>
  <c r="I44" i="28"/>
  <c r="I58" i="28" s="1"/>
  <c r="I45" i="28"/>
  <c r="I59" i="28" s="1"/>
  <c r="Z7" i="38"/>
  <c r="Z11" i="38"/>
  <c r="AB7" i="38"/>
  <c r="AB11" i="38"/>
  <c r="Y7" i="38"/>
  <c r="Y11" i="38"/>
  <c r="I7" i="38"/>
  <c r="I11" i="38"/>
  <c r="AG7" i="29"/>
  <c r="AG11" i="29"/>
  <c r="W7" i="29"/>
  <c r="W11" i="29"/>
  <c r="M7" i="30"/>
  <c r="M11" i="30"/>
  <c r="C14" i="6"/>
  <c r="C15" i="6" s="1"/>
  <c r="C13" i="6" s="1"/>
  <c r="AD46" i="29"/>
  <c r="AD60" i="29" s="1"/>
  <c r="AD50" i="29"/>
  <c r="AD64" i="29" s="1"/>
  <c r="AD48" i="29"/>
  <c r="AD62" i="29" s="1"/>
  <c r="AD49" i="29"/>
  <c r="AD63" i="29" s="1"/>
  <c r="AD42" i="29"/>
  <c r="AD56" i="29" s="1"/>
  <c r="AD44" i="29"/>
  <c r="AD58" i="29" s="1"/>
  <c r="AD47" i="29"/>
  <c r="AD61" i="29" s="1"/>
  <c r="AD45" i="29"/>
  <c r="AD59" i="29" s="1"/>
  <c r="S7" i="33"/>
  <c r="S11" i="33"/>
  <c r="Q7" i="38"/>
  <c r="Q11" i="38"/>
  <c r="Z7" i="33"/>
  <c r="Z11" i="33"/>
  <c r="K7" i="33"/>
  <c r="K11" i="33"/>
  <c r="J7" i="33"/>
  <c r="J11" i="33"/>
  <c r="H7" i="37"/>
  <c r="AJ12" i="37"/>
  <c r="AJ9" i="37" s="1"/>
  <c r="H11" i="37"/>
  <c r="B11" i="37"/>
  <c r="AF47" i="36"/>
  <c r="AF61" i="36" s="1"/>
  <c r="AF46" i="36"/>
  <c r="AF60" i="36" s="1"/>
  <c r="AF44" i="36"/>
  <c r="AF58" i="36" s="1"/>
  <c r="AF48" i="36"/>
  <c r="AF62" i="36" s="1"/>
  <c r="AF45" i="36"/>
  <c r="AF59" i="36" s="1"/>
  <c r="AF49" i="36"/>
  <c r="AF63" i="36" s="1"/>
  <c r="AF50" i="36"/>
  <c r="AF64" i="36" s="1"/>
  <c r="AF42" i="36"/>
  <c r="AF56" i="36" s="1"/>
  <c r="X7" i="38"/>
  <c r="X11" i="38"/>
  <c r="AA7" i="38"/>
  <c r="AA11" i="38"/>
  <c r="U7" i="38"/>
  <c r="U11" i="38"/>
  <c r="AI7" i="38"/>
  <c r="AJ12" i="38"/>
  <c r="AJ9" i="38" s="1"/>
  <c r="AI11" i="38"/>
  <c r="U7" i="29"/>
  <c r="U11" i="29"/>
  <c r="H7" i="29"/>
  <c r="H11" i="29"/>
  <c r="B11" i="29"/>
  <c r="H7" i="30"/>
  <c r="AJ12" i="30"/>
  <c r="AJ9" i="30" s="1"/>
  <c r="H11" i="30"/>
  <c r="B11" i="30"/>
  <c r="Q48" i="30"/>
  <c r="Q62" i="30" s="1"/>
  <c r="Q42" i="30"/>
  <c r="Q56" i="30" s="1"/>
  <c r="Q49" i="30"/>
  <c r="Q63" i="30" s="1"/>
  <c r="Q50" i="30"/>
  <c r="Q64" i="30" s="1"/>
  <c r="Q44" i="30"/>
  <c r="Q58" i="30" s="1"/>
  <c r="Q45" i="30"/>
  <c r="Q59" i="30" s="1"/>
  <c r="Q46" i="30"/>
  <c r="Q60" i="30" s="1"/>
  <c r="Q47" i="30"/>
  <c r="Q61" i="30" s="1"/>
  <c r="J47" i="30"/>
  <c r="J61" i="30" s="1"/>
  <c r="J42" i="30"/>
  <c r="J56" i="30" s="1"/>
  <c r="J50" i="30"/>
  <c r="J64" i="30" s="1"/>
  <c r="J44" i="30"/>
  <c r="J58" i="30" s="1"/>
  <c r="J45" i="30"/>
  <c r="J59" i="30" s="1"/>
  <c r="J46" i="30"/>
  <c r="J60" i="30" s="1"/>
  <c r="J49" i="30"/>
  <c r="J63" i="30" s="1"/>
  <c r="J48" i="30"/>
  <c r="J62" i="30" s="1"/>
  <c r="Y7" i="33"/>
  <c r="Y11" i="33"/>
  <c r="P50" i="34"/>
  <c r="P64" i="34" s="1"/>
  <c r="P49" i="34"/>
  <c r="P63" i="34" s="1"/>
  <c r="P46" i="34"/>
  <c r="P60" i="34" s="1"/>
  <c r="P44" i="34"/>
  <c r="P58" i="34" s="1"/>
  <c r="P47" i="34"/>
  <c r="P61" i="34" s="1"/>
  <c r="P48" i="34"/>
  <c r="P62" i="34" s="1"/>
  <c r="P42" i="34"/>
  <c r="P56" i="34" s="1"/>
  <c r="P45" i="34"/>
  <c r="P59" i="34" s="1"/>
  <c r="H7" i="33"/>
  <c r="H11" i="33"/>
  <c r="B11" i="33"/>
  <c r="AF7" i="33"/>
  <c r="AF11" i="33"/>
  <c r="P47" i="36"/>
  <c r="P61" i="36" s="1"/>
  <c r="P42" i="36"/>
  <c r="P56" i="36" s="1"/>
  <c r="P44" i="36"/>
  <c r="P58" i="36" s="1"/>
  <c r="P45" i="36"/>
  <c r="P59" i="36" s="1"/>
  <c r="P46" i="36"/>
  <c r="P60" i="36" s="1"/>
  <c r="P48" i="36"/>
  <c r="P62" i="36" s="1"/>
  <c r="P49" i="36"/>
  <c r="P63" i="36" s="1"/>
  <c r="P50" i="36"/>
  <c r="P64" i="36" s="1"/>
  <c r="V47" i="37"/>
  <c r="V61" i="37" s="1"/>
  <c r="V46" i="37"/>
  <c r="V60" i="37" s="1"/>
  <c r="V44" i="37"/>
  <c r="V58" i="37" s="1"/>
  <c r="V48" i="37"/>
  <c r="V62" i="37" s="1"/>
  <c r="V45" i="37"/>
  <c r="V59" i="37" s="1"/>
  <c r="V49" i="37"/>
  <c r="V63" i="37" s="1"/>
  <c r="V50" i="37"/>
  <c r="V64" i="37" s="1"/>
  <c r="V42" i="37"/>
  <c r="V56" i="37" s="1"/>
  <c r="AF7" i="38"/>
  <c r="AF11" i="38"/>
  <c r="W7" i="38"/>
  <c r="W11" i="38"/>
  <c r="P7" i="38"/>
  <c r="P11" i="38"/>
  <c r="P7" i="29"/>
  <c r="P11" i="29"/>
  <c r="J5" i="27"/>
  <c r="J6" i="27" s="1"/>
  <c r="L5" i="27"/>
  <c r="M5" i="27" s="1"/>
  <c r="H1" i="16"/>
  <c r="T7" i="29"/>
  <c r="T11" i="29"/>
  <c r="L48" i="36"/>
  <c r="L62" i="36" s="1"/>
  <c r="L47" i="36"/>
  <c r="L61" i="36" s="1"/>
  <c r="M7" i="37"/>
  <c r="M11" i="37"/>
  <c r="AH7" i="33"/>
  <c r="AH11" i="33"/>
  <c r="V7" i="33"/>
  <c r="V11" i="33"/>
  <c r="AB7" i="33"/>
  <c r="AB11" i="33"/>
  <c r="U47" i="33"/>
  <c r="U61" i="33" s="1"/>
  <c r="U49" i="33"/>
  <c r="U63" i="33" s="1"/>
  <c r="U45" i="33"/>
  <c r="U59" i="33" s="1"/>
  <c r="U50" i="33"/>
  <c r="U64" i="33" s="1"/>
  <c r="U48" i="33"/>
  <c r="U62" i="33" s="1"/>
  <c r="U42" i="33"/>
  <c r="U56" i="33" s="1"/>
  <c r="U44" i="33"/>
  <c r="U58" i="33" s="1"/>
  <c r="U46" i="33"/>
  <c r="U60" i="33" s="1"/>
  <c r="AI47" i="34"/>
  <c r="AI61" i="34" s="1"/>
  <c r="AI42" i="34"/>
  <c r="AI56" i="34" s="1"/>
  <c r="S7" i="38"/>
  <c r="S11" i="38"/>
  <c r="T7" i="38"/>
  <c r="T11" i="38"/>
  <c r="N7" i="38"/>
  <c r="N11" i="38"/>
  <c r="J7" i="29"/>
  <c r="J11" i="29"/>
  <c r="L7" i="29"/>
  <c r="L11" i="29"/>
  <c r="AB42" i="30"/>
  <c r="AB56" i="30" s="1"/>
  <c r="AB45" i="30"/>
  <c r="AB59" i="30" s="1"/>
  <c r="AB50" i="30"/>
  <c r="AB64" i="30" s="1"/>
  <c r="AB48" i="30"/>
  <c r="AB62" i="30" s="1"/>
  <c r="AJ12" i="29"/>
  <c r="AJ9" i="29" s="1"/>
  <c r="I14" i="16" l="1"/>
  <c r="K26" i="1"/>
  <c r="G32" i="1" s="1"/>
  <c r="G34" i="1" s="1"/>
  <c r="P42" i="32"/>
  <c r="P56" i="32" s="1"/>
  <c r="P48" i="32"/>
  <c r="P62" i="32" s="1"/>
  <c r="P50" i="32"/>
  <c r="P64" i="32" s="1"/>
  <c r="P44" i="32"/>
  <c r="P58" i="32" s="1"/>
  <c r="P45" i="32"/>
  <c r="P59" i="32" s="1"/>
  <c r="P46" i="32"/>
  <c r="P60" i="32" s="1"/>
  <c r="P5" i="32"/>
  <c r="P49" i="32"/>
  <c r="P63" i="32" s="1"/>
  <c r="AK12" i="31"/>
  <c r="AK9" i="31" s="1"/>
  <c r="AJ9" i="31"/>
  <c r="AK12" i="34"/>
  <c r="AK9" i="34" s="1"/>
  <c r="AJ9" i="34"/>
  <c r="AJ7" i="28"/>
  <c r="AJ9" i="28"/>
  <c r="AJ11" i="32"/>
  <c r="AJ9" i="32"/>
  <c r="AK12" i="35"/>
  <c r="AK9" i="35" s="1"/>
  <c r="AJ9" i="35"/>
  <c r="AJ7" i="36"/>
  <c r="AJ9" i="36"/>
  <c r="M21" i="1"/>
  <c r="M22" i="1"/>
  <c r="K47" i="36"/>
  <c r="K61" i="36" s="1"/>
  <c r="K50" i="36"/>
  <c r="K64" i="36" s="1"/>
  <c r="K44" i="36"/>
  <c r="K58" i="36" s="1"/>
  <c r="K42" i="36"/>
  <c r="K56" i="36" s="1"/>
  <c r="K49" i="36"/>
  <c r="K63" i="36" s="1"/>
  <c r="K46" i="36"/>
  <c r="K60" i="36" s="1"/>
  <c r="K45" i="36"/>
  <c r="K59" i="36" s="1"/>
  <c r="AC5" i="33"/>
  <c r="X5" i="37"/>
  <c r="AC5" i="36"/>
  <c r="V5" i="16"/>
  <c r="V5" i="28"/>
  <c r="Q5" i="16"/>
  <c r="H5" i="28"/>
  <c r="H42" i="28"/>
  <c r="H56" i="28" s="1"/>
  <c r="L5" i="29"/>
  <c r="T5" i="29"/>
  <c r="S5" i="33"/>
  <c r="I5" i="38"/>
  <c r="AE5" i="16"/>
  <c r="AD5" i="38"/>
  <c r="W5" i="34"/>
  <c r="S5" i="34"/>
  <c r="U5" i="16"/>
  <c r="AJ7" i="35"/>
  <c r="AF5" i="30"/>
  <c r="AG5" i="34"/>
  <c r="H42" i="34"/>
  <c r="H56" i="34" s="1"/>
  <c r="S5" i="36"/>
  <c r="N5" i="28"/>
  <c r="AI5" i="38"/>
  <c r="AG5" i="38"/>
  <c r="V5" i="38"/>
  <c r="AE5" i="29"/>
  <c r="AA5" i="28"/>
  <c r="AJ46" i="35"/>
  <c r="AJ60" i="35" s="1"/>
  <c r="T5" i="34"/>
  <c r="AH5" i="31"/>
  <c r="I5" i="31"/>
  <c r="J5" i="16"/>
  <c r="R5" i="35"/>
  <c r="AC5" i="38"/>
  <c r="AB5" i="32"/>
  <c r="T46" i="37"/>
  <c r="T60" i="37" s="1"/>
  <c r="X5" i="36"/>
  <c r="AB5" i="33"/>
  <c r="U5" i="38"/>
  <c r="AB5" i="38"/>
  <c r="Q5" i="29"/>
  <c r="AA5" i="29"/>
  <c r="I5" i="35"/>
  <c r="T5" i="35"/>
  <c r="AB5" i="36"/>
  <c r="O5" i="37"/>
  <c r="AA5" i="33"/>
  <c r="Q5" i="35"/>
  <c r="AC5" i="16"/>
  <c r="AB5" i="31"/>
  <c r="M48" i="36"/>
  <c r="M62" i="36" s="1"/>
  <c r="H5" i="33"/>
  <c r="H42" i="33"/>
  <c r="H56" i="33" s="1"/>
  <c r="Y5" i="38"/>
  <c r="Q5" i="32"/>
  <c r="N5" i="38"/>
  <c r="AH5" i="38"/>
  <c r="W5" i="37"/>
  <c r="AE5" i="37"/>
  <c r="AI5" i="16"/>
  <c r="M5" i="32"/>
  <c r="U5" i="28"/>
  <c r="AF5" i="31"/>
  <c r="AA47" i="30"/>
  <c r="AA61" i="30" s="1"/>
  <c r="X5" i="34"/>
  <c r="H5" i="31"/>
  <c r="H42" i="31"/>
  <c r="H56" i="31" s="1"/>
  <c r="U5" i="34"/>
  <c r="AF49" i="35"/>
  <c r="AF63" i="35" s="1"/>
  <c r="AA5" i="38"/>
  <c r="Z5" i="38"/>
  <c r="AH5" i="29"/>
  <c r="AE5" i="32"/>
  <c r="R5" i="36"/>
  <c r="Y5" i="30"/>
  <c r="O5" i="32"/>
  <c r="AF5" i="37"/>
  <c r="K5" i="31"/>
  <c r="K5" i="36"/>
  <c r="AD5" i="16"/>
  <c r="L5" i="38"/>
  <c r="Z5" i="34"/>
  <c r="AE5" i="38"/>
  <c r="P5" i="38"/>
  <c r="K5" i="33"/>
  <c r="I5" i="29"/>
  <c r="W5" i="33"/>
  <c r="P5" i="30"/>
  <c r="J5" i="35"/>
  <c r="AC5" i="30"/>
  <c r="Y5" i="37"/>
  <c r="O5" i="16"/>
  <c r="T5" i="30"/>
  <c r="K5" i="38"/>
  <c r="H5" i="37"/>
  <c r="H42" i="37"/>
  <c r="H56" i="37" s="1"/>
  <c r="P5" i="16"/>
  <c r="X5" i="31"/>
  <c r="H5" i="16"/>
  <c r="H42" i="16"/>
  <c r="H56" i="16" s="1"/>
  <c r="AH5" i="34"/>
  <c r="AE5" i="35"/>
  <c r="AD5" i="32"/>
  <c r="V5" i="33"/>
  <c r="V5" i="36"/>
  <c r="AE5" i="31"/>
  <c r="Y5" i="28"/>
  <c r="H5" i="30"/>
  <c r="H42" i="30"/>
  <c r="H56" i="30" s="1"/>
  <c r="AH5" i="30"/>
  <c r="U5" i="30"/>
  <c r="O5" i="33"/>
  <c r="T5" i="33"/>
  <c r="H5" i="32"/>
  <c r="H42" i="32"/>
  <c r="H56" i="32" s="1"/>
  <c r="AI5" i="31"/>
  <c r="V5" i="32"/>
  <c r="U5" i="32"/>
  <c r="Y5" i="36"/>
  <c r="S5" i="38"/>
  <c r="AD5" i="28"/>
  <c r="V5" i="29"/>
  <c r="AG5" i="32"/>
  <c r="O5" i="34"/>
  <c r="AA5" i="31"/>
  <c r="Z5" i="28"/>
  <c r="W5" i="31"/>
  <c r="AB5" i="28"/>
  <c r="J5" i="33"/>
  <c r="P5" i="35"/>
  <c r="T5" i="38"/>
  <c r="N5" i="36"/>
  <c r="AF5" i="29"/>
  <c r="Z5" i="33"/>
  <c r="W5" i="29"/>
  <c r="N5" i="33"/>
  <c r="N5" i="16"/>
  <c r="H5" i="36"/>
  <c r="H42" i="36"/>
  <c r="H56" i="36" s="1"/>
  <c r="AC5" i="37"/>
  <c r="L5" i="30"/>
  <c r="Y5" i="31"/>
  <c r="J5" i="31"/>
  <c r="AA5" i="16"/>
  <c r="AH5" i="36"/>
  <c r="Y5" i="32"/>
  <c r="Y5" i="33"/>
  <c r="X5" i="38"/>
  <c r="R5" i="32"/>
  <c r="N5" i="34"/>
  <c r="AB5" i="34"/>
  <c r="AH48" i="35"/>
  <c r="AH62" i="35" s="1"/>
  <c r="X5" i="33"/>
  <c r="AF5" i="33"/>
  <c r="T5" i="28"/>
  <c r="AC5" i="31"/>
  <c r="Z5" i="32"/>
  <c r="R5" i="33"/>
  <c r="Q5" i="33"/>
  <c r="Z5" i="37"/>
  <c r="W5" i="38"/>
  <c r="M5" i="29"/>
  <c r="N5" i="29"/>
  <c r="AA5" i="32"/>
  <c r="S5" i="31"/>
  <c r="H5" i="29"/>
  <c r="H42" i="29"/>
  <c r="H56" i="29" s="1"/>
  <c r="W5" i="16"/>
  <c r="L5" i="16"/>
  <c r="W5" i="35"/>
  <c r="P5" i="31"/>
  <c r="O5" i="36"/>
  <c r="AG5" i="30"/>
  <c r="R5" i="37"/>
  <c r="J5" i="29"/>
  <c r="S5" i="28"/>
  <c r="AI5" i="33"/>
  <c r="AD5" i="33"/>
  <c r="AG5" i="37"/>
  <c r="U5" i="37"/>
  <c r="K5" i="37"/>
  <c r="O5" i="38"/>
  <c r="M5" i="33"/>
  <c r="AF5" i="16"/>
  <c r="AG5" i="16"/>
  <c r="T5" i="16"/>
  <c r="AA5" i="34"/>
  <c r="Q5" i="38"/>
  <c r="Z5" i="16"/>
  <c r="M5" i="34"/>
  <c r="AD5" i="37"/>
  <c r="AF5" i="38"/>
  <c r="I5" i="33"/>
  <c r="J5" i="38"/>
  <c r="X5" i="32"/>
  <c r="AG5" i="36"/>
  <c r="S5" i="37"/>
  <c r="AH5" i="28"/>
  <c r="H5" i="38"/>
  <c r="H42" i="38"/>
  <c r="H56" i="38" s="1"/>
  <c r="AE5" i="36"/>
  <c r="R5" i="34"/>
  <c r="L5" i="28"/>
  <c r="P5" i="29"/>
  <c r="Q5" i="36"/>
  <c r="AH5" i="33"/>
  <c r="U5" i="35"/>
  <c r="M5" i="37"/>
  <c r="M5" i="38"/>
  <c r="L5" i="33"/>
  <c r="AE5" i="33"/>
  <c r="AC5" i="34"/>
  <c r="U5" i="29"/>
  <c r="AG5" i="29"/>
  <c r="R5" i="38"/>
  <c r="P5" i="33"/>
  <c r="AB5" i="37"/>
  <c r="K5" i="35"/>
  <c r="AA5" i="36"/>
  <c r="L5" i="32"/>
  <c r="AG5" i="35"/>
  <c r="AA5" i="37"/>
  <c r="J5" i="34"/>
  <c r="I5" i="32"/>
  <c r="T5" i="32"/>
  <c r="M42" i="36"/>
  <c r="M56" i="36" s="1"/>
  <c r="H50" i="28"/>
  <c r="H64" i="28" s="1"/>
  <c r="H49" i="28"/>
  <c r="H63" i="28" s="1"/>
  <c r="H45" i="28"/>
  <c r="H59" i="28" s="1"/>
  <c r="H46" i="28"/>
  <c r="H60" i="28" s="1"/>
  <c r="H47" i="28"/>
  <c r="H61" i="28" s="1"/>
  <c r="M49" i="36"/>
  <c r="M63" i="36" s="1"/>
  <c r="M44" i="36"/>
  <c r="M58" i="36" s="1"/>
  <c r="M5" i="36"/>
  <c r="AC49" i="31"/>
  <c r="AC63" i="31" s="1"/>
  <c r="AC47" i="31"/>
  <c r="AC61" i="31" s="1"/>
  <c r="AC50" i="31"/>
  <c r="AC64" i="31" s="1"/>
  <c r="M45" i="36"/>
  <c r="M59" i="36" s="1"/>
  <c r="AC45" i="31"/>
  <c r="AC59" i="31" s="1"/>
  <c r="M50" i="36"/>
  <c r="M64" i="36" s="1"/>
  <c r="M46" i="36"/>
  <c r="M60" i="36" s="1"/>
  <c r="M47" i="36"/>
  <c r="M61" i="36" s="1"/>
  <c r="AC48" i="31"/>
  <c r="AC62" i="31" s="1"/>
  <c r="AC42" i="31"/>
  <c r="AC56" i="31" s="1"/>
  <c r="AC44" i="31"/>
  <c r="AC58" i="31" s="1"/>
  <c r="AC46" i="31"/>
  <c r="AC60" i="31" s="1"/>
  <c r="AJ11" i="35"/>
  <c r="Q44" i="16"/>
  <c r="Q58" i="16" s="1"/>
  <c r="Q45" i="16"/>
  <c r="Q59" i="16" s="1"/>
  <c r="Q49" i="16"/>
  <c r="Q63" i="16" s="1"/>
  <c r="H44" i="28"/>
  <c r="H58" i="28" s="1"/>
  <c r="H48" i="28"/>
  <c r="H62" i="28" s="1"/>
  <c r="AA42" i="30"/>
  <c r="AA56" i="30" s="1"/>
  <c r="N26" i="1"/>
  <c r="H26" i="1" s="1"/>
  <c r="AG50" i="30"/>
  <c r="AG64" i="30" s="1"/>
  <c r="AG42" i="30"/>
  <c r="AG56" i="30" s="1"/>
  <c r="AG48" i="30"/>
  <c r="AG62" i="30" s="1"/>
  <c r="AG44" i="30"/>
  <c r="AG58" i="30" s="1"/>
  <c r="T44" i="28"/>
  <c r="T58" i="28" s="1"/>
  <c r="T50" i="28"/>
  <c r="T64" i="28" s="1"/>
  <c r="Q46" i="16"/>
  <c r="Q60" i="16" s="1"/>
  <c r="AG47" i="30"/>
  <c r="AG61" i="30" s="1"/>
  <c r="AG46" i="30"/>
  <c r="AG60" i="30" s="1"/>
  <c r="AH44" i="35"/>
  <c r="AH58" i="35" s="1"/>
  <c r="AG45" i="30"/>
  <c r="AG59" i="30" s="1"/>
  <c r="AH46" i="35"/>
  <c r="AH60" i="35" s="1"/>
  <c r="AH47" i="35"/>
  <c r="AH61" i="35" s="1"/>
  <c r="AH49" i="35"/>
  <c r="AH63" i="35" s="1"/>
  <c r="T42" i="28"/>
  <c r="T56" i="28" s="1"/>
  <c r="Q42" i="16"/>
  <c r="Q56" i="16" s="1"/>
  <c r="Q48" i="16"/>
  <c r="Q62" i="16" s="1"/>
  <c r="T49" i="28"/>
  <c r="T63" i="28" s="1"/>
  <c r="Q47" i="16"/>
  <c r="Q61" i="16" s="1"/>
  <c r="T45" i="28"/>
  <c r="T59" i="28" s="1"/>
  <c r="T48" i="28"/>
  <c r="T62" i="28" s="1"/>
  <c r="T47" i="28"/>
  <c r="T61" i="28" s="1"/>
  <c r="T46" i="28"/>
  <c r="T60" i="28" s="1"/>
  <c r="AG49" i="30"/>
  <c r="AG63" i="30" s="1"/>
  <c r="Q50" i="16"/>
  <c r="Q64" i="16" s="1"/>
  <c r="X42" i="36"/>
  <c r="X56" i="36" s="1"/>
  <c r="S42" i="29"/>
  <c r="S56" i="29" s="1"/>
  <c r="S5" i="29"/>
  <c r="Y42" i="29"/>
  <c r="Y56" i="29" s="1"/>
  <c r="Y5" i="29"/>
  <c r="X46" i="36"/>
  <c r="X60" i="36" s="1"/>
  <c r="Q49" i="28"/>
  <c r="Q63" i="28" s="1"/>
  <c r="Q5" i="28"/>
  <c r="AF48" i="35"/>
  <c r="AF62" i="35" s="1"/>
  <c r="AF5" i="35"/>
  <c r="X45" i="36"/>
  <c r="X59" i="36" s="1"/>
  <c r="I46" i="34"/>
  <c r="I60" i="34" s="1"/>
  <c r="I5" i="34"/>
  <c r="AI42" i="28"/>
  <c r="AI56" i="28" s="1"/>
  <c r="AI5" i="28"/>
  <c r="AB44" i="29"/>
  <c r="AB58" i="29" s="1"/>
  <c r="AB5" i="29"/>
  <c r="O46" i="28"/>
  <c r="O60" i="28" s="1"/>
  <c r="O5" i="28"/>
  <c r="R50" i="28"/>
  <c r="R64" i="28" s="1"/>
  <c r="R5" i="28"/>
  <c r="AI47" i="29"/>
  <c r="AI61" i="29" s="1"/>
  <c r="AI5" i="29"/>
  <c r="M49" i="31"/>
  <c r="M63" i="31" s="1"/>
  <c r="M5" i="31"/>
  <c r="X44" i="36"/>
  <c r="X58" i="36" s="1"/>
  <c r="H48" i="34"/>
  <c r="H62" i="34" s="1"/>
  <c r="H5" i="34"/>
  <c r="Y44" i="16"/>
  <c r="Y58" i="16" s="1"/>
  <c r="Y5" i="16"/>
  <c r="AF44" i="34"/>
  <c r="AF58" i="34" s="1"/>
  <c r="AF5" i="34"/>
  <c r="AH47" i="32"/>
  <c r="AH61" i="32" s="1"/>
  <c r="AH5" i="32"/>
  <c r="V47" i="31"/>
  <c r="V61" i="31" s="1"/>
  <c r="V5" i="31"/>
  <c r="AG45" i="28"/>
  <c r="AG59" i="28" s="1"/>
  <c r="AG5" i="28"/>
  <c r="L48" i="37"/>
  <c r="L62" i="37" s="1"/>
  <c r="L5" i="37"/>
  <c r="Q49" i="34"/>
  <c r="Q63" i="34" s="1"/>
  <c r="Q5" i="34"/>
  <c r="W45" i="30"/>
  <c r="W59" i="30" s="1"/>
  <c r="W5" i="30"/>
  <c r="X47" i="36"/>
  <c r="X61" i="36" s="1"/>
  <c r="AC46" i="32"/>
  <c r="AC60" i="32" s="1"/>
  <c r="AC5" i="32"/>
  <c r="Q48" i="37"/>
  <c r="Q62" i="37" s="1"/>
  <c r="Q5" i="37"/>
  <c r="X47" i="29"/>
  <c r="X61" i="29" s="1"/>
  <c r="X5" i="29"/>
  <c r="R44" i="16"/>
  <c r="R58" i="16" s="1"/>
  <c r="R5" i="16"/>
  <c r="AH42" i="35"/>
  <c r="AH56" i="35" s="1"/>
  <c r="AH5" i="35"/>
  <c r="S48" i="30"/>
  <c r="S62" i="30" s="1"/>
  <c r="S5" i="30"/>
  <c r="W50" i="30"/>
  <c r="W64" i="30" s="1"/>
  <c r="J50" i="36"/>
  <c r="J64" i="36" s="1"/>
  <c r="J5" i="36"/>
  <c r="AG49" i="33"/>
  <c r="AG63" i="33" s="1"/>
  <c r="AG5" i="33"/>
  <c r="AF50" i="32"/>
  <c r="AF64" i="32" s="1"/>
  <c r="AF5" i="32"/>
  <c r="J48" i="28"/>
  <c r="J62" i="28" s="1"/>
  <c r="J5" i="28"/>
  <c r="AD48" i="30"/>
  <c r="AD62" i="30" s="1"/>
  <c r="AD5" i="30"/>
  <c r="X42" i="35"/>
  <c r="X56" i="35" s="1"/>
  <c r="X5" i="35"/>
  <c r="AA49" i="30"/>
  <c r="AA63" i="30" s="1"/>
  <c r="AA5" i="30"/>
  <c r="X49" i="28"/>
  <c r="X63" i="28" s="1"/>
  <c r="X5" i="28"/>
  <c r="N48" i="32"/>
  <c r="N62" i="32" s="1"/>
  <c r="N5" i="32"/>
  <c r="Z48" i="36"/>
  <c r="Z62" i="36" s="1"/>
  <c r="Z5" i="36"/>
  <c r="S49" i="32"/>
  <c r="S63" i="32" s="1"/>
  <c r="S5" i="32"/>
  <c r="X50" i="36"/>
  <c r="X64" i="36" s="1"/>
  <c r="V49" i="34"/>
  <c r="V63" i="34" s="1"/>
  <c r="V5" i="34"/>
  <c r="S50" i="16"/>
  <c r="S64" i="16" s="1"/>
  <c r="S5" i="16"/>
  <c r="AE46" i="30"/>
  <c r="AE60" i="30" s="1"/>
  <c r="AE5" i="30"/>
  <c r="I50" i="16"/>
  <c r="I64" i="16" s="1"/>
  <c r="I5" i="16"/>
  <c r="W44" i="32"/>
  <c r="W58" i="32" s="1"/>
  <c r="W5" i="32"/>
  <c r="O49" i="31"/>
  <c r="O63" i="31" s="1"/>
  <c r="O5" i="31"/>
  <c r="AB46" i="16"/>
  <c r="AB60" i="16" s="1"/>
  <c r="AB5" i="16"/>
  <c r="I42" i="37"/>
  <c r="I56" i="37" s="1"/>
  <c r="I5" i="37"/>
  <c r="P45" i="28"/>
  <c r="P59" i="28" s="1"/>
  <c r="P5" i="28"/>
  <c r="V47" i="35"/>
  <c r="V61" i="35" s="1"/>
  <c r="V5" i="35"/>
  <c r="Z49" i="30"/>
  <c r="Z63" i="30" s="1"/>
  <c r="Z5" i="30"/>
  <c r="AD48" i="36"/>
  <c r="AD62" i="36" s="1"/>
  <c r="AD5" i="36"/>
  <c r="O50" i="30"/>
  <c r="O64" i="30" s="1"/>
  <c r="O5" i="30"/>
  <c r="M42" i="30"/>
  <c r="M56" i="30" s="1"/>
  <c r="M5" i="30"/>
  <c r="T50" i="37"/>
  <c r="T64" i="37" s="1"/>
  <c r="T5" i="37"/>
  <c r="K49" i="16"/>
  <c r="K63" i="16" s="1"/>
  <c r="K5" i="16"/>
  <c r="AI49" i="32"/>
  <c r="AI63" i="32" s="1"/>
  <c r="AI5" i="32"/>
  <c r="AH49" i="37"/>
  <c r="AH63" i="37" s="1"/>
  <c r="AH5" i="37"/>
  <c r="Z42" i="29"/>
  <c r="Z56" i="29" s="1"/>
  <c r="Z5" i="29"/>
  <c r="M47" i="16"/>
  <c r="M61" i="16" s="1"/>
  <c r="M5" i="16"/>
  <c r="AD50" i="31"/>
  <c r="AD64" i="31" s="1"/>
  <c r="AD5" i="31"/>
  <c r="AC50" i="35"/>
  <c r="AC64" i="35" s="1"/>
  <c r="AC5" i="35"/>
  <c r="R45" i="30"/>
  <c r="R59" i="30" s="1"/>
  <c r="R5" i="30"/>
  <c r="M50" i="35"/>
  <c r="M64" i="35" s="1"/>
  <c r="M5" i="35"/>
  <c r="U42" i="31"/>
  <c r="U56" i="31" s="1"/>
  <c r="U5" i="31"/>
  <c r="Z42" i="35"/>
  <c r="Z56" i="35" s="1"/>
  <c r="Z5" i="35"/>
  <c r="X48" i="36"/>
  <c r="X62" i="36" s="1"/>
  <c r="W50" i="28"/>
  <c r="W64" i="28" s="1"/>
  <c r="W5" i="28"/>
  <c r="O46" i="29"/>
  <c r="O60" i="29" s="1"/>
  <c r="O5" i="29"/>
  <c r="V49" i="30"/>
  <c r="V63" i="30" s="1"/>
  <c r="V5" i="30"/>
  <c r="AI45" i="37"/>
  <c r="AI59" i="37" s="1"/>
  <c r="AI5" i="37"/>
  <c r="K49" i="32"/>
  <c r="K63" i="32" s="1"/>
  <c r="K5" i="32"/>
  <c r="AA50" i="30"/>
  <c r="AA64" i="30" s="1"/>
  <c r="X49" i="36"/>
  <c r="X63" i="36" s="1"/>
  <c r="X42" i="30"/>
  <c r="X56" i="30" s="1"/>
  <c r="X5" i="30"/>
  <c r="N50" i="37"/>
  <c r="N64" i="37" s="1"/>
  <c r="N5" i="37"/>
  <c r="R50" i="31"/>
  <c r="R64" i="31" s="1"/>
  <c r="R5" i="31"/>
  <c r="R47" i="29"/>
  <c r="R61" i="29" s="1"/>
  <c r="R5" i="29"/>
  <c r="AC47" i="28"/>
  <c r="AC61" i="28" s="1"/>
  <c r="AC5" i="28"/>
  <c r="AA44" i="30"/>
  <c r="AA58" i="30" s="1"/>
  <c r="Z47" i="35"/>
  <c r="Z61" i="35" s="1"/>
  <c r="AH45" i="32"/>
  <c r="AH59" i="32" s="1"/>
  <c r="R50" i="29"/>
  <c r="R64" i="29" s="1"/>
  <c r="AC45" i="28"/>
  <c r="AC59" i="28" s="1"/>
  <c r="R48" i="30"/>
  <c r="R62" i="30" s="1"/>
  <c r="O48" i="30"/>
  <c r="O62" i="30" s="1"/>
  <c r="R50" i="30"/>
  <c r="R64" i="30" s="1"/>
  <c r="AA48" i="30"/>
  <c r="AA62" i="30" s="1"/>
  <c r="M46" i="35"/>
  <c r="M60" i="35" s="1"/>
  <c r="AF46" i="32"/>
  <c r="AF60" i="32" s="1"/>
  <c r="AC46" i="35"/>
  <c r="AC60" i="35" s="1"/>
  <c r="O46" i="30"/>
  <c r="O60" i="30" s="1"/>
  <c r="AF48" i="34"/>
  <c r="AF62" i="34" s="1"/>
  <c r="O45" i="30"/>
  <c r="O59" i="30" s="1"/>
  <c r="AF42" i="32"/>
  <c r="AF56" i="32" s="1"/>
  <c r="AC42" i="28"/>
  <c r="AC56" i="28" s="1"/>
  <c r="R49" i="29"/>
  <c r="R63" i="29" s="1"/>
  <c r="R48" i="29"/>
  <c r="R62" i="29" s="1"/>
  <c r="R42" i="29"/>
  <c r="R56" i="29" s="1"/>
  <c r="AA46" i="30"/>
  <c r="AA60" i="30" s="1"/>
  <c r="M45" i="35"/>
  <c r="M59" i="35" s="1"/>
  <c r="AF42" i="34"/>
  <c r="AF56" i="34" s="1"/>
  <c r="R46" i="29"/>
  <c r="R60" i="29" s="1"/>
  <c r="AC49" i="35"/>
  <c r="AC63" i="35" s="1"/>
  <c r="M44" i="35"/>
  <c r="M58" i="35" s="1"/>
  <c r="R44" i="30"/>
  <c r="R58" i="30" s="1"/>
  <c r="R46" i="30"/>
  <c r="R60" i="30" s="1"/>
  <c r="R42" i="30"/>
  <c r="R56" i="30" s="1"/>
  <c r="AF45" i="32"/>
  <c r="AF59" i="32" s="1"/>
  <c r="R49" i="30"/>
  <c r="R63" i="30" s="1"/>
  <c r="Z44" i="30"/>
  <c r="Z58" i="30" s="1"/>
  <c r="AD49" i="36"/>
  <c r="AD63" i="36" s="1"/>
  <c r="AD42" i="36"/>
  <c r="AD56" i="36" s="1"/>
  <c r="AD47" i="36"/>
  <c r="AD61" i="36" s="1"/>
  <c r="R47" i="30"/>
  <c r="R61" i="30" s="1"/>
  <c r="AD50" i="36"/>
  <c r="AD64" i="36" s="1"/>
  <c r="AA45" i="30"/>
  <c r="AA59" i="30" s="1"/>
  <c r="Y47" i="29"/>
  <c r="Y61" i="29" s="1"/>
  <c r="AF50" i="35"/>
  <c r="AF64" i="35" s="1"/>
  <c r="O47" i="30"/>
  <c r="O61" i="30" s="1"/>
  <c r="Z48" i="30"/>
  <c r="Z62" i="30" s="1"/>
  <c r="AD46" i="36"/>
  <c r="AD60" i="36" s="1"/>
  <c r="Z47" i="30"/>
  <c r="Z61" i="30" s="1"/>
  <c r="AJ7" i="31"/>
  <c r="W44" i="30"/>
  <c r="W58" i="30" s="1"/>
  <c r="AF45" i="35"/>
  <c r="AF59" i="35" s="1"/>
  <c r="AF42" i="35"/>
  <c r="AF56" i="35" s="1"/>
  <c r="O45" i="28"/>
  <c r="O59" i="28" s="1"/>
  <c r="AF46" i="35"/>
  <c r="AF60" i="35" s="1"/>
  <c r="L50" i="37"/>
  <c r="L64" i="37" s="1"/>
  <c r="AF44" i="35"/>
  <c r="AF58" i="35" s="1"/>
  <c r="AJ11" i="31"/>
  <c r="N44" i="32"/>
  <c r="N58" i="32" s="1"/>
  <c r="N47" i="32"/>
  <c r="N61" i="32" s="1"/>
  <c r="AH45" i="35"/>
  <c r="AH59" i="35" s="1"/>
  <c r="Z50" i="30"/>
  <c r="Z64" i="30" s="1"/>
  <c r="N45" i="32"/>
  <c r="N59" i="32" s="1"/>
  <c r="R48" i="28"/>
  <c r="R62" i="28" s="1"/>
  <c r="O49" i="30"/>
  <c r="O63" i="30" s="1"/>
  <c r="AF47" i="35"/>
  <c r="AF61" i="35" s="1"/>
  <c r="Q48" i="34"/>
  <c r="Q62" i="34" s="1"/>
  <c r="R47" i="28"/>
  <c r="R61" i="28" s="1"/>
  <c r="AD45" i="36"/>
  <c r="AD59" i="36" s="1"/>
  <c r="L42" i="37"/>
  <c r="L56" i="37" s="1"/>
  <c r="N49" i="32"/>
  <c r="N63" i="32" s="1"/>
  <c r="Q46" i="34"/>
  <c r="Q60" i="34" s="1"/>
  <c r="R46" i="28"/>
  <c r="R60" i="28" s="1"/>
  <c r="O44" i="30"/>
  <c r="O58" i="30" s="1"/>
  <c r="O42" i="30"/>
  <c r="O56" i="30" s="1"/>
  <c r="AD44" i="31"/>
  <c r="AD58" i="31" s="1"/>
  <c r="Z49" i="35"/>
  <c r="Z63" i="35" s="1"/>
  <c r="AH48" i="32"/>
  <c r="AH62" i="32" s="1"/>
  <c r="AF47" i="32"/>
  <c r="AF61" i="32" s="1"/>
  <c r="AF48" i="32"/>
  <c r="AF62" i="32" s="1"/>
  <c r="AC42" i="35"/>
  <c r="AC56" i="35" s="1"/>
  <c r="AF50" i="34"/>
  <c r="AF64" i="34" s="1"/>
  <c r="X44" i="35"/>
  <c r="X58" i="35" s="1"/>
  <c r="R49" i="28"/>
  <c r="R63" i="28" s="1"/>
  <c r="Q42" i="34"/>
  <c r="Q56" i="34" s="1"/>
  <c r="AH50" i="35"/>
  <c r="AH64" i="35" s="1"/>
  <c r="X50" i="35"/>
  <c r="X64" i="35" s="1"/>
  <c r="Q44" i="34"/>
  <c r="Q58" i="34" s="1"/>
  <c r="R42" i="28"/>
  <c r="R56" i="28" s="1"/>
  <c r="X47" i="35"/>
  <c r="X61" i="35" s="1"/>
  <c r="Y46" i="29"/>
  <c r="Y60" i="29" s="1"/>
  <c r="AK12" i="32"/>
  <c r="AK9" i="32" s="1"/>
  <c r="R45" i="28"/>
  <c r="R59" i="28" s="1"/>
  <c r="R44" i="28"/>
  <c r="R58" i="28" s="1"/>
  <c r="X46" i="35"/>
  <c r="X60" i="35" s="1"/>
  <c r="Y45" i="29"/>
  <c r="Y59" i="29" s="1"/>
  <c r="Y44" i="29"/>
  <c r="Y58" i="29" s="1"/>
  <c r="AC47" i="35"/>
  <c r="AC61" i="35" s="1"/>
  <c r="O44" i="29"/>
  <c r="O58" i="29" s="1"/>
  <c r="X48" i="35"/>
  <c r="X62" i="35" s="1"/>
  <c r="W46" i="30"/>
  <c r="W60" i="30" s="1"/>
  <c r="O49" i="29"/>
  <c r="O63" i="29" s="1"/>
  <c r="V48" i="30"/>
  <c r="V62" i="30" s="1"/>
  <c r="Y50" i="29"/>
  <c r="Y64" i="29" s="1"/>
  <c r="Y49" i="29"/>
  <c r="Y63" i="29" s="1"/>
  <c r="X45" i="35"/>
  <c r="X59" i="35" s="1"/>
  <c r="AD44" i="36"/>
  <c r="AD58" i="36" s="1"/>
  <c r="Y48" i="29"/>
  <c r="Y62" i="29" s="1"/>
  <c r="X49" i="35"/>
  <c r="X63" i="35" s="1"/>
  <c r="Z46" i="35"/>
  <c r="Z60" i="35" s="1"/>
  <c r="Z48" i="35"/>
  <c r="Z62" i="35" s="1"/>
  <c r="W42" i="30"/>
  <c r="W56" i="30" s="1"/>
  <c r="L46" i="37"/>
  <c r="L60" i="37" s="1"/>
  <c r="AJ11" i="36"/>
  <c r="Q48" i="28"/>
  <c r="Q62" i="28" s="1"/>
  <c r="AK12" i="36"/>
  <c r="AK9" i="36" s="1"/>
  <c r="W48" i="30"/>
  <c r="W62" i="30" s="1"/>
  <c r="W49" i="30"/>
  <c r="W63" i="30" s="1"/>
  <c r="L45" i="37"/>
  <c r="L59" i="37" s="1"/>
  <c r="Q47" i="28"/>
  <c r="Q61" i="28" s="1"/>
  <c r="Z44" i="35"/>
  <c r="Z58" i="35" s="1"/>
  <c r="Q50" i="28"/>
  <c r="Q64" i="28" s="1"/>
  <c r="O47" i="29"/>
  <c r="O61" i="29" s="1"/>
  <c r="AC44" i="35"/>
  <c r="AC58" i="35" s="1"/>
  <c r="Q44" i="28"/>
  <c r="Q58" i="28" s="1"/>
  <c r="W47" i="30"/>
  <c r="W61" i="30" s="1"/>
  <c r="AD48" i="31"/>
  <c r="AD62" i="31" s="1"/>
  <c r="O48" i="29"/>
  <c r="O62" i="29" s="1"/>
  <c r="AC48" i="35"/>
  <c r="AC62" i="35" s="1"/>
  <c r="K48" i="16"/>
  <c r="K62" i="16" s="1"/>
  <c r="Q45" i="28"/>
  <c r="Q59" i="28" s="1"/>
  <c r="K42" i="16"/>
  <c r="K56" i="16" s="1"/>
  <c r="K50" i="16"/>
  <c r="K64" i="16" s="1"/>
  <c r="O50" i="29"/>
  <c r="O64" i="29" s="1"/>
  <c r="Q42" i="28"/>
  <c r="Q56" i="28" s="1"/>
  <c r="L47" i="37"/>
  <c r="L61" i="37" s="1"/>
  <c r="AF46" i="34"/>
  <c r="AF60" i="34" s="1"/>
  <c r="AF44" i="32"/>
  <c r="AF58" i="32" s="1"/>
  <c r="AC45" i="35"/>
  <c r="AC59" i="35" s="1"/>
  <c r="K47" i="16"/>
  <c r="K61" i="16" s="1"/>
  <c r="K46" i="16"/>
  <c r="K60" i="16" s="1"/>
  <c r="R45" i="29"/>
  <c r="R59" i="29" s="1"/>
  <c r="R44" i="29"/>
  <c r="R58" i="29" s="1"/>
  <c r="M49" i="35"/>
  <c r="M63" i="35" s="1"/>
  <c r="L44" i="37"/>
  <c r="L58" i="37" s="1"/>
  <c r="AF45" i="34"/>
  <c r="AF59" i="34" s="1"/>
  <c r="AF49" i="32"/>
  <c r="AF63" i="32" s="1"/>
  <c r="U44" i="31"/>
  <c r="U58" i="31" s="1"/>
  <c r="AF47" i="34"/>
  <c r="AF61" i="34" s="1"/>
  <c r="Q46" i="28"/>
  <c r="Q60" i="28" s="1"/>
  <c r="N50" i="32"/>
  <c r="N64" i="32" s="1"/>
  <c r="M42" i="35"/>
  <c r="M56" i="35" s="1"/>
  <c r="O45" i="29"/>
  <c r="O59" i="29" s="1"/>
  <c r="M48" i="35"/>
  <c r="M62" i="35" s="1"/>
  <c r="U47" i="31"/>
  <c r="U61" i="31" s="1"/>
  <c r="N42" i="32"/>
  <c r="N56" i="32" s="1"/>
  <c r="Z44" i="36"/>
  <c r="Z58" i="36" s="1"/>
  <c r="AH50" i="32"/>
  <c r="AH64" i="32" s="1"/>
  <c r="Z45" i="36"/>
  <c r="Z59" i="36" s="1"/>
  <c r="Q50" i="34"/>
  <c r="Q64" i="34" s="1"/>
  <c r="J48" i="36"/>
  <c r="J62" i="36" s="1"/>
  <c r="Z46" i="36"/>
  <c r="Z60" i="36" s="1"/>
  <c r="AH44" i="32"/>
  <c r="AH58" i="32" s="1"/>
  <c r="V45" i="30"/>
  <c r="V59" i="30" s="1"/>
  <c r="Z45" i="35"/>
  <c r="Z59" i="35" s="1"/>
  <c r="U46" i="31"/>
  <c r="U60" i="31" s="1"/>
  <c r="AJ11" i="28"/>
  <c r="AJ7" i="32"/>
  <c r="AH46" i="32"/>
  <c r="AH60" i="32" s="1"/>
  <c r="V47" i="30"/>
  <c r="V61" i="30" s="1"/>
  <c r="Z50" i="35"/>
  <c r="Z64" i="35" s="1"/>
  <c r="Z50" i="36"/>
  <c r="Z64" i="36" s="1"/>
  <c r="AH49" i="32"/>
  <c r="AH63" i="32" s="1"/>
  <c r="V46" i="30"/>
  <c r="V60" i="30" s="1"/>
  <c r="U45" i="31"/>
  <c r="U59" i="31" s="1"/>
  <c r="Z45" i="30"/>
  <c r="Z59" i="30" s="1"/>
  <c r="N46" i="32"/>
  <c r="N60" i="32" s="1"/>
  <c r="AH42" i="32"/>
  <c r="AH56" i="32" s="1"/>
  <c r="Z49" i="36"/>
  <c r="Z63" i="36" s="1"/>
  <c r="V44" i="30"/>
  <c r="V58" i="30" s="1"/>
  <c r="U50" i="31"/>
  <c r="U64" i="31" s="1"/>
  <c r="Z47" i="36"/>
  <c r="Z61" i="36" s="1"/>
  <c r="Z42" i="36"/>
  <c r="Z56" i="36" s="1"/>
  <c r="AK12" i="28"/>
  <c r="V42" i="30"/>
  <c r="V56" i="30" s="1"/>
  <c r="U49" i="31"/>
  <c r="U63" i="31" s="1"/>
  <c r="Z42" i="30"/>
  <c r="Z56" i="30" s="1"/>
  <c r="Z46" i="30"/>
  <c r="Z60" i="30" s="1"/>
  <c r="V50" i="30"/>
  <c r="V64" i="30" s="1"/>
  <c r="U48" i="31"/>
  <c r="U62" i="31" s="1"/>
  <c r="AF49" i="34"/>
  <c r="AF63" i="34" s="1"/>
  <c r="M47" i="35"/>
  <c r="M61" i="35" s="1"/>
  <c r="O42" i="29"/>
  <c r="O56" i="29" s="1"/>
  <c r="K45" i="16"/>
  <c r="K59" i="16" s="1"/>
  <c r="K44" i="16"/>
  <c r="K58" i="16" s="1"/>
  <c r="O48" i="28"/>
  <c r="O62" i="28" s="1"/>
  <c r="T47" i="37"/>
  <c r="T61" i="37" s="1"/>
  <c r="R45" i="31"/>
  <c r="R59" i="31" s="1"/>
  <c r="O47" i="28"/>
  <c r="O61" i="28" s="1"/>
  <c r="R44" i="31"/>
  <c r="R58" i="31" s="1"/>
  <c r="AC50" i="28"/>
  <c r="AC64" i="28" s="1"/>
  <c r="R46" i="31"/>
  <c r="R60" i="31" s="1"/>
  <c r="O42" i="28"/>
  <c r="O56" i="28" s="1"/>
  <c r="R49" i="31"/>
  <c r="R63" i="31" s="1"/>
  <c r="AC49" i="28"/>
  <c r="AC63" i="28" s="1"/>
  <c r="AG42" i="33"/>
  <c r="AG56" i="33" s="1"/>
  <c r="O49" i="28"/>
  <c r="O63" i="28" s="1"/>
  <c r="AG47" i="33"/>
  <c r="AG61" i="33" s="1"/>
  <c r="R47" i="31"/>
  <c r="R61" i="31" s="1"/>
  <c r="O50" i="28"/>
  <c r="O64" i="28" s="1"/>
  <c r="AG44" i="33"/>
  <c r="AG58" i="33" s="1"/>
  <c r="R48" i="31"/>
  <c r="R62" i="31" s="1"/>
  <c r="AC44" i="28"/>
  <c r="AC58" i="28" s="1"/>
  <c r="AC48" i="28"/>
  <c r="AC62" i="28" s="1"/>
  <c r="AG45" i="33"/>
  <c r="AG59" i="33" s="1"/>
  <c r="O44" i="28"/>
  <c r="O58" i="28" s="1"/>
  <c r="AG48" i="33"/>
  <c r="AG62" i="33" s="1"/>
  <c r="T48" i="37"/>
  <c r="T62" i="37" s="1"/>
  <c r="R42" i="31"/>
  <c r="R56" i="31" s="1"/>
  <c r="AC46" i="28"/>
  <c r="AC60" i="28" s="1"/>
  <c r="AG50" i="33"/>
  <c r="AG64" i="33" s="1"/>
  <c r="T45" i="37"/>
  <c r="T59" i="37" s="1"/>
  <c r="AG46" i="33"/>
  <c r="AG60" i="33" s="1"/>
  <c r="T42" i="37"/>
  <c r="T56" i="37" s="1"/>
  <c r="AD46" i="31"/>
  <c r="AD60" i="31" s="1"/>
  <c r="AD47" i="31"/>
  <c r="AD61" i="31" s="1"/>
  <c r="AD45" i="31"/>
  <c r="AD59" i="31" s="1"/>
  <c r="AD49" i="31"/>
  <c r="AD63" i="31" s="1"/>
  <c r="AD42" i="31"/>
  <c r="AD56" i="31" s="1"/>
  <c r="Q47" i="34"/>
  <c r="Q61" i="34" s="1"/>
  <c r="Q45" i="34"/>
  <c r="Q59" i="34" s="1"/>
  <c r="J47" i="36"/>
  <c r="J61" i="36" s="1"/>
  <c r="J46" i="36"/>
  <c r="J60" i="36" s="1"/>
  <c r="J42" i="36"/>
  <c r="J56" i="36" s="1"/>
  <c r="J45" i="36"/>
  <c r="J59" i="36" s="1"/>
  <c r="J49" i="36"/>
  <c r="J63" i="36" s="1"/>
  <c r="J44" i="36"/>
  <c r="J58" i="36" s="1"/>
  <c r="T49" i="37"/>
  <c r="T63" i="37" s="1"/>
  <c r="L49" i="37"/>
  <c r="L63" i="37" s="1"/>
  <c r="T44" i="37"/>
  <c r="T58" i="37" s="1"/>
  <c r="D18" i="20"/>
  <c r="C18" i="20"/>
  <c r="E8" i="20" s="1"/>
  <c r="M42" i="16"/>
  <c r="M56" i="16" s="1"/>
  <c r="J26" i="1"/>
  <c r="F32" i="1" s="1"/>
  <c r="R46" i="16"/>
  <c r="R60" i="16" s="1"/>
  <c r="M50" i="16"/>
  <c r="M64" i="16" s="1"/>
  <c r="M44" i="16"/>
  <c r="M58" i="16" s="1"/>
  <c r="I49" i="37"/>
  <c r="I63" i="37" s="1"/>
  <c r="I46" i="37"/>
  <c r="I60" i="37" s="1"/>
  <c r="AB50" i="29"/>
  <c r="AB64" i="29" s="1"/>
  <c r="V42" i="35"/>
  <c r="V56" i="35" s="1"/>
  <c r="AB42" i="29"/>
  <c r="AB56" i="29" s="1"/>
  <c r="V44" i="35"/>
  <c r="V58" i="35" s="1"/>
  <c r="V49" i="35"/>
  <c r="V63" i="35" s="1"/>
  <c r="M47" i="31"/>
  <c r="M61" i="31" s="1"/>
  <c r="M46" i="31"/>
  <c r="M60" i="31" s="1"/>
  <c r="M45" i="31"/>
  <c r="M59" i="31" s="1"/>
  <c r="N49" i="37"/>
  <c r="N63" i="37" s="1"/>
  <c r="AG48" i="28"/>
  <c r="AG62" i="28" s="1"/>
  <c r="AG47" i="28"/>
  <c r="AG61" i="28" s="1"/>
  <c r="AG46" i="28"/>
  <c r="AG60" i="28" s="1"/>
  <c r="N45" i="37"/>
  <c r="N59" i="37" s="1"/>
  <c r="N48" i="37"/>
  <c r="N62" i="37" s="1"/>
  <c r="N44" i="37"/>
  <c r="N58" i="37" s="1"/>
  <c r="N46" i="37"/>
  <c r="N60" i="37" s="1"/>
  <c r="N47" i="37"/>
  <c r="N61" i="37" s="1"/>
  <c r="AG44" i="28"/>
  <c r="AG58" i="28" s="1"/>
  <c r="AG50" i="28"/>
  <c r="AG64" i="28" s="1"/>
  <c r="N42" i="37"/>
  <c r="N56" i="37" s="1"/>
  <c r="AG49" i="28"/>
  <c r="AG63" i="28" s="1"/>
  <c r="Z48" i="29"/>
  <c r="Z62" i="29" s="1"/>
  <c r="W44" i="28"/>
  <c r="W58" i="28" s="1"/>
  <c r="AD45" i="30"/>
  <c r="AD59" i="30" s="1"/>
  <c r="R45" i="16"/>
  <c r="R59" i="16" s="1"/>
  <c r="O44" i="31"/>
  <c r="O58" i="31" s="1"/>
  <c r="R42" i="16"/>
  <c r="R56" i="16" s="1"/>
  <c r="O48" i="31"/>
  <c r="O62" i="31" s="1"/>
  <c r="R48" i="16"/>
  <c r="R62" i="16" s="1"/>
  <c r="Z47" i="29"/>
  <c r="Z61" i="29" s="1"/>
  <c r="R50" i="16"/>
  <c r="R64" i="16" s="1"/>
  <c r="O47" i="31"/>
  <c r="O61" i="31" s="1"/>
  <c r="O42" i="31"/>
  <c r="O56" i="31" s="1"/>
  <c r="Z46" i="29"/>
  <c r="Z60" i="29" s="1"/>
  <c r="O45" i="31"/>
  <c r="O59" i="31" s="1"/>
  <c r="O50" i="31"/>
  <c r="O64" i="31" s="1"/>
  <c r="Z45" i="29"/>
  <c r="Z59" i="29" s="1"/>
  <c r="R49" i="16"/>
  <c r="R63" i="16" s="1"/>
  <c r="AD46" i="30"/>
  <c r="AD60" i="30" s="1"/>
  <c r="AD50" i="30"/>
  <c r="AD64" i="30" s="1"/>
  <c r="R47" i="16"/>
  <c r="R61" i="16" s="1"/>
  <c r="W47" i="32"/>
  <c r="W61" i="32" s="1"/>
  <c r="I45" i="37"/>
  <c r="I59" i="37" s="1"/>
  <c r="I48" i="37"/>
  <c r="I62" i="37" s="1"/>
  <c r="I47" i="37"/>
  <c r="I61" i="37" s="1"/>
  <c r="X44" i="29"/>
  <c r="X58" i="29" s="1"/>
  <c r="P47" i="28"/>
  <c r="P61" i="28" s="1"/>
  <c r="I44" i="37"/>
  <c r="I58" i="37" s="1"/>
  <c r="P42" i="28"/>
  <c r="P56" i="28" s="1"/>
  <c r="P48" i="28"/>
  <c r="P62" i="28" s="1"/>
  <c r="I50" i="37"/>
  <c r="I64" i="37" s="1"/>
  <c r="P46" i="28"/>
  <c r="P60" i="28" s="1"/>
  <c r="P50" i="28"/>
  <c r="P64" i="28" s="1"/>
  <c r="S46" i="32"/>
  <c r="S60" i="32" s="1"/>
  <c r="X45" i="28"/>
  <c r="X59" i="28" s="1"/>
  <c r="O46" i="31"/>
  <c r="O60" i="31" s="1"/>
  <c r="X50" i="29"/>
  <c r="X64" i="29" s="1"/>
  <c r="AG42" i="28"/>
  <c r="AG56" i="28" s="1"/>
  <c r="X46" i="29"/>
  <c r="X60" i="29" s="1"/>
  <c r="P49" i="28"/>
  <c r="P63" i="28" s="1"/>
  <c r="M48" i="16"/>
  <c r="M62" i="16" s="1"/>
  <c r="W49" i="32"/>
  <c r="W63" i="32" s="1"/>
  <c r="X45" i="29"/>
  <c r="X59" i="29" s="1"/>
  <c r="M46" i="16"/>
  <c r="M60" i="16" s="1"/>
  <c r="X49" i="29"/>
  <c r="X63" i="29" s="1"/>
  <c r="Z50" i="29"/>
  <c r="Z64" i="29" s="1"/>
  <c r="X42" i="29"/>
  <c r="X56" i="29" s="1"/>
  <c r="M45" i="16"/>
  <c r="M59" i="16" s="1"/>
  <c r="Z44" i="29"/>
  <c r="Z58" i="29" s="1"/>
  <c r="Z49" i="29"/>
  <c r="Z63" i="29" s="1"/>
  <c r="M49" i="16"/>
  <c r="M63" i="16" s="1"/>
  <c r="X48" i="29"/>
  <c r="X62" i="29" s="1"/>
  <c r="W50" i="32"/>
  <c r="W64" i="32" s="1"/>
  <c r="W42" i="32"/>
  <c r="W56" i="32" s="1"/>
  <c r="W48" i="32"/>
  <c r="W62" i="32" s="1"/>
  <c r="P44" i="28"/>
  <c r="P58" i="28" s="1"/>
  <c r="V49" i="31"/>
  <c r="V63" i="31" s="1"/>
  <c r="V46" i="31"/>
  <c r="V60" i="31" s="1"/>
  <c r="M48" i="31"/>
  <c r="M62" i="31" s="1"/>
  <c r="V50" i="35"/>
  <c r="V64" i="35" s="1"/>
  <c r="AB47" i="29"/>
  <c r="AB61" i="29" s="1"/>
  <c r="AH49" i="31"/>
  <c r="AH63" i="31" s="1"/>
  <c r="AH44" i="31"/>
  <c r="AH58" i="31" s="1"/>
  <c r="AH48" i="31"/>
  <c r="AH62" i="31" s="1"/>
  <c r="AH45" i="31"/>
  <c r="AH59" i="31" s="1"/>
  <c r="AH42" i="31"/>
  <c r="AH56" i="31" s="1"/>
  <c r="AH46" i="31"/>
  <c r="AH60" i="31" s="1"/>
  <c r="AH47" i="31"/>
  <c r="AH61" i="31" s="1"/>
  <c r="AH50" i="31"/>
  <c r="AH64" i="31" s="1"/>
  <c r="AB46" i="29"/>
  <c r="AB60" i="29" s="1"/>
  <c r="AE42" i="30"/>
  <c r="AE56" i="30" s="1"/>
  <c r="M42" i="31"/>
  <c r="M56" i="31" s="1"/>
  <c r="V48" i="35"/>
  <c r="V62" i="35" s="1"/>
  <c r="AD44" i="30"/>
  <c r="AD58" i="30" s="1"/>
  <c r="AF46" i="31"/>
  <c r="AF60" i="31" s="1"/>
  <c r="AF42" i="31"/>
  <c r="AF56" i="31" s="1"/>
  <c r="AF47" i="31"/>
  <c r="AF61" i="31" s="1"/>
  <c r="AF50" i="31"/>
  <c r="AF64" i="31" s="1"/>
  <c r="AF48" i="31"/>
  <c r="AF62" i="31" s="1"/>
  <c r="AF49" i="31"/>
  <c r="AF63" i="31" s="1"/>
  <c r="AF44" i="31"/>
  <c r="AF58" i="31" s="1"/>
  <c r="AF45" i="31"/>
  <c r="AF59" i="31" s="1"/>
  <c r="V45" i="31"/>
  <c r="V59" i="31" s="1"/>
  <c r="AE47" i="30"/>
  <c r="AE61" i="30" s="1"/>
  <c r="M44" i="31"/>
  <c r="M58" i="31" s="1"/>
  <c r="V45" i="35"/>
  <c r="V59" i="35" s="1"/>
  <c r="AB48" i="29"/>
  <c r="AB62" i="29" s="1"/>
  <c r="AD49" i="30"/>
  <c r="AD63" i="30" s="1"/>
  <c r="V44" i="31"/>
  <c r="V58" i="31" s="1"/>
  <c r="V50" i="31"/>
  <c r="V64" i="31" s="1"/>
  <c r="M50" i="31"/>
  <c r="M64" i="31" s="1"/>
  <c r="V46" i="35"/>
  <c r="V60" i="35" s="1"/>
  <c r="AB45" i="29"/>
  <c r="AB59" i="29" s="1"/>
  <c r="AD47" i="30"/>
  <c r="AD61" i="30" s="1"/>
  <c r="AD42" i="30"/>
  <c r="AD56" i="30" s="1"/>
  <c r="I49" i="31"/>
  <c r="I63" i="31" s="1"/>
  <c r="I50" i="31"/>
  <c r="I64" i="31" s="1"/>
  <c r="I45" i="31"/>
  <c r="I59" i="31" s="1"/>
  <c r="I46" i="31"/>
  <c r="I60" i="31" s="1"/>
  <c r="I48" i="31"/>
  <c r="I62" i="31" s="1"/>
  <c r="I44" i="31"/>
  <c r="I58" i="31" s="1"/>
  <c r="I47" i="31"/>
  <c r="I61" i="31" s="1"/>
  <c r="I42" i="31"/>
  <c r="I56" i="31" s="1"/>
  <c r="V48" i="31"/>
  <c r="V62" i="31" s="1"/>
  <c r="Q44" i="37"/>
  <c r="Q58" i="37" s="1"/>
  <c r="AB49" i="29"/>
  <c r="AB63" i="29" s="1"/>
  <c r="V42" i="31"/>
  <c r="V56" i="31" s="1"/>
  <c r="AB42" i="31"/>
  <c r="AB56" i="31" s="1"/>
  <c r="AB46" i="31"/>
  <c r="AB60" i="31" s="1"/>
  <c r="AB49" i="31"/>
  <c r="AB63" i="31" s="1"/>
  <c r="AB45" i="31"/>
  <c r="AB59" i="31" s="1"/>
  <c r="AB50" i="31"/>
  <c r="AB64" i="31" s="1"/>
  <c r="AB48" i="31"/>
  <c r="AB62" i="31" s="1"/>
  <c r="AB44" i="31"/>
  <c r="AB58" i="31" s="1"/>
  <c r="AB47" i="31"/>
  <c r="AB61" i="31" s="1"/>
  <c r="W46" i="28"/>
  <c r="W60" i="28" s="1"/>
  <c r="O42" i="36"/>
  <c r="O56" i="36" s="1"/>
  <c r="O47" i="36"/>
  <c r="O61" i="36" s="1"/>
  <c r="O48" i="36"/>
  <c r="O62" i="36" s="1"/>
  <c r="O45" i="36"/>
  <c r="O59" i="36" s="1"/>
  <c r="O46" i="36"/>
  <c r="O60" i="36" s="1"/>
  <c r="O49" i="36"/>
  <c r="O63" i="36" s="1"/>
  <c r="O50" i="36"/>
  <c r="O64" i="36" s="1"/>
  <c r="O44" i="36"/>
  <c r="O58" i="36" s="1"/>
  <c r="W48" i="28"/>
  <c r="W62" i="28" s="1"/>
  <c r="W47" i="28"/>
  <c r="W61" i="28" s="1"/>
  <c r="W46" i="32"/>
  <c r="W60" i="32" s="1"/>
  <c r="W45" i="32"/>
  <c r="W59" i="32" s="1"/>
  <c r="Y46" i="36"/>
  <c r="Y60" i="36" s="1"/>
  <c r="Y50" i="36"/>
  <c r="Y64" i="36" s="1"/>
  <c r="Y42" i="36"/>
  <c r="Y56" i="36" s="1"/>
  <c r="Y45" i="36"/>
  <c r="Y59" i="36" s="1"/>
  <c r="Y44" i="36"/>
  <c r="Y58" i="36" s="1"/>
  <c r="Y48" i="36"/>
  <c r="Y62" i="36" s="1"/>
  <c r="Y49" i="36"/>
  <c r="Y63" i="36" s="1"/>
  <c r="Y47" i="36"/>
  <c r="Y61" i="36" s="1"/>
  <c r="W45" i="28"/>
  <c r="W59" i="28" s="1"/>
  <c r="W49" i="28"/>
  <c r="W63" i="28" s="1"/>
  <c r="W42" i="28"/>
  <c r="W56" i="28" s="1"/>
  <c r="Q47" i="37"/>
  <c r="Q61" i="37" s="1"/>
  <c r="AI45" i="29"/>
  <c r="AI59" i="29" s="1"/>
  <c r="V44" i="34"/>
  <c r="V58" i="34" s="1"/>
  <c r="AI44" i="29"/>
  <c r="AI58" i="29" s="1"/>
  <c r="AE50" i="30"/>
  <c r="AE64" i="30" s="1"/>
  <c r="S50" i="29"/>
  <c r="S64" i="29" s="1"/>
  <c r="J49" i="28"/>
  <c r="J63" i="28" s="1"/>
  <c r="X48" i="28"/>
  <c r="X62" i="28" s="1"/>
  <c r="AC49" i="32"/>
  <c r="AC63" i="32" s="1"/>
  <c r="J46" i="28"/>
  <c r="J60" i="28" s="1"/>
  <c r="V48" i="34"/>
  <c r="V62" i="34" s="1"/>
  <c r="I49" i="16"/>
  <c r="I63" i="16" s="1"/>
  <c r="J42" i="28"/>
  <c r="J56" i="28" s="1"/>
  <c r="I44" i="16"/>
  <c r="I58" i="16" s="1"/>
  <c r="J44" i="28"/>
  <c r="J58" i="28" s="1"/>
  <c r="J50" i="28"/>
  <c r="J64" i="28" s="1"/>
  <c r="I42" i="16"/>
  <c r="I56" i="16" s="1"/>
  <c r="S48" i="29"/>
  <c r="S62" i="29" s="1"/>
  <c r="S49" i="29"/>
  <c r="S63" i="29" s="1"/>
  <c r="X50" i="30"/>
  <c r="X64" i="30" s="1"/>
  <c r="X42" i="28"/>
  <c r="X56" i="28" s="1"/>
  <c r="S47" i="29"/>
  <c r="S61" i="29" s="1"/>
  <c r="X46" i="30"/>
  <c r="X60" i="30" s="1"/>
  <c r="X46" i="28"/>
  <c r="X60" i="28" s="1"/>
  <c r="X44" i="28"/>
  <c r="X58" i="28" s="1"/>
  <c r="I44" i="34"/>
  <c r="I58" i="34" s="1"/>
  <c r="I48" i="16"/>
  <c r="I62" i="16" s="1"/>
  <c r="S46" i="29"/>
  <c r="S60" i="29" s="1"/>
  <c r="S44" i="29"/>
  <c r="S58" i="29" s="1"/>
  <c r="AH44" i="37"/>
  <c r="AH58" i="37" s="1"/>
  <c r="AB44" i="16"/>
  <c r="AB58" i="16" s="1"/>
  <c r="AB42" i="16"/>
  <c r="AB56" i="16" s="1"/>
  <c r="AB45" i="16"/>
  <c r="AB59" i="16" s="1"/>
  <c r="AI48" i="28"/>
  <c r="AI62" i="28" s="1"/>
  <c r="S45" i="32"/>
  <c r="S59" i="32" s="1"/>
  <c r="AB49" i="16"/>
  <c r="AB63" i="16" s="1"/>
  <c r="S42" i="32"/>
  <c r="S56" i="32" s="1"/>
  <c r="AB47" i="16"/>
  <c r="AB61" i="16" s="1"/>
  <c r="S50" i="32"/>
  <c r="S64" i="32" s="1"/>
  <c r="AB50" i="16"/>
  <c r="AB64" i="16" s="1"/>
  <c r="H45" i="34"/>
  <c r="H59" i="34" s="1"/>
  <c r="I48" i="34"/>
  <c r="I62" i="34" s="1"/>
  <c r="AI45" i="32"/>
  <c r="AI59" i="32" s="1"/>
  <c r="K46" i="32"/>
  <c r="K60" i="32" s="1"/>
  <c r="S45" i="29"/>
  <c r="S59" i="29" s="1"/>
  <c r="I49" i="34"/>
  <c r="I63" i="34" s="1"/>
  <c r="H44" i="34"/>
  <c r="H58" i="34" s="1"/>
  <c r="AB48" i="16"/>
  <c r="AB62" i="16" s="1"/>
  <c r="H50" i="34"/>
  <c r="H64" i="34" s="1"/>
  <c r="H47" i="34"/>
  <c r="H61" i="34" s="1"/>
  <c r="H46" i="34"/>
  <c r="H60" i="34" s="1"/>
  <c r="N42" i="28"/>
  <c r="N56" i="28" s="1"/>
  <c r="N46" i="28"/>
  <c r="N60" i="28" s="1"/>
  <c r="N47" i="28"/>
  <c r="N61" i="28" s="1"/>
  <c r="N49" i="28"/>
  <c r="N63" i="28" s="1"/>
  <c r="N44" i="28"/>
  <c r="N58" i="28" s="1"/>
  <c r="N45" i="28"/>
  <c r="N59" i="28" s="1"/>
  <c r="N48" i="28"/>
  <c r="N62" i="28" s="1"/>
  <c r="N50" i="28"/>
  <c r="N64" i="28" s="1"/>
  <c r="AH49" i="28"/>
  <c r="AH63" i="28" s="1"/>
  <c r="AH47" i="28"/>
  <c r="AH61" i="28" s="1"/>
  <c r="AH42" i="28"/>
  <c r="AH56" i="28" s="1"/>
  <c r="AH45" i="28"/>
  <c r="AH59" i="28" s="1"/>
  <c r="AH46" i="28"/>
  <c r="AH60" i="28" s="1"/>
  <c r="AH44" i="28"/>
  <c r="AH58" i="28" s="1"/>
  <c r="AH50" i="28"/>
  <c r="AH64" i="28" s="1"/>
  <c r="AH48" i="28"/>
  <c r="AH62" i="28" s="1"/>
  <c r="AI45" i="28"/>
  <c r="AI59" i="28" s="1"/>
  <c r="AI50" i="28"/>
  <c r="AI64" i="28" s="1"/>
  <c r="AI46" i="28"/>
  <c r="AI60" i="28" s="1"/>
  <c r="AI49" i="28"/>
  <c r="AI63" i="28" s="1"/>
  <c r="AI47" i="28"/>
  <c r="AI61" i="28" s="1"/>
  <c r="AI44" i="28"/>
  <c r="AI58" i="28" s="1"/>
  <c r="X42" i="31"/>
  <c r="X56" i="31" s="1"/>
  <c r="X48" i="31"/>
  <c r="X62" i="31" s="1"/>
  <c r="X46" i="31"/>
  <c r="X60" i="31" s="1"/>
  <c r="X47" i="31"/>
  <c r="X61" i="31" s="1"/>
  <c r="X49" i="31"/>
  <c r="X63" i="31" s="1"/>
  <c r="X45" i="31"/>
  <c r="X59" i="31" s="1"/>
  <c r="X44" i="31"/>
  <c r="X58" i="31" s="1"/>
  <c r="X50" i="31"/>
  <c r="X64" i="31" s="1"/>
  <c r="AI47" i="37"/>
  <c r="AI61" i="37" s="1"/>
  <c r="J45" i="28"/>
  <c r="J59" i="28" s="1"/>
  <c r="J47" i="28"/>
  <c r="J61" i="28" s="1"/>
  <c r="U45" i="35"/>
  <c r="U59" i="35" s="1"/>
  <c r="U47" i="35"/>
  <c r="U61" i="35" s="1"/>
  <c r="U46" i="35"/>
  <c r="U60" i="35" s="1"/>
  <c r="U49" i="35"/>
  <c r="U63" i="35" s="1"/>
  <c r="U44" i="35"/>
  <c r="U58" i="35" s="1"/>
  <c r="U42" i="35"/>
  <c r="U56" i="35" s="1"/>
  <c r="U48" i="35"/>
  <c r="U62" i="35" s="1"/>
  <c r="U50" i="35"/>
  <c r="U64" i="35" s="1"/>
  <c r="W47" i="31"/>
  <c r="W61" i="31" s="1"/>
  <c r="W42" i="31"/>
  <c r="W56" i="31" s="1"/>
  <c r="W44" i="31"/>
  <c r="W58" i="31" s="1"/>
  <c r="W46" i="31"/>
  <c r="W60" i="31" s="1"/>
  <c r="W48" i="31"/>
  <c r="W62" i="31" s="1"/>
  <c r="W45" i="31"/>
  <c r="W59" i="31" s="1"/>
  <c r="W50" i="31"/>
  <c r="W64" i="31" s="1"/>
  <c r="W49" i="31"/>
  <c r="W63" i="31" s="1"/>
  <c r="U48" i="28"/>
  <c r="U62" i="28" s="1"/>
  <c r="U49" i="28"/>
  <c r="U63" i="28" s="1"/>
  <c r="U46" i="28"/>
  <c r="U60" i="28" s="1"/>
  <c r="U42" i="28"/>
  <c r="U56" i="28" s="1"/>
  <c r="U44" i="28"/>
  <c r="U58" i="28" s="1"/>
  <c r="U45" i="28"/>
  <c r="U59" i="28" s="1"/>
  <c r="U47" i="28"/>
  <c r="U61" i="28" s="1"/>
  <c r="U50" i="28"/>
  <c r="U64" i="28" s="1"/>
  <c r="AB50" i="28"/>
  <c r="AB64" i="28" s="1"/>
  <c r="AB49" i="28"/>
  <c r="AB63" i="28" s="1"/>
  <c r="AB45" i="28"/>
  <c r="AB59" i="28" s="1"/>
  <c r="AB42" i="28"/>
  <c r="AB56" i="28" s="1"/>
  <c r="AB44" i="28"/>
  <c r="AB58" i="28" s="1"/>
  <c r="AB46" i="28"/>
  <c r="AB60" i="28" s="1"/>
  <c r="AB47" i="28"/>
  <c r="AB61" i="28" s="1"/>
  <c r="AB48" i="28"/>
  <c r="AB62" i="28" s="1"/>
  <c r="Z50" i="28"/>
  <c r="Z64" i="28" s="1"/>
  <c r="Z49" i="28"/>
  <c r="Z63" i="28" s="1"/>
  <c r="Z44" i="28"/>
  <c r="Z58" i="28" s="1"/>
  <c r="Z42" i="28"/>
  <c r="Z56" i="28" s="1"/>
  <c r="Z45" i="28"/>
  <c r="Z59" i="28" s="1"/>
  <c r="Z48" i="28"/>
  <c r="Z62" i="28" s="1"/>
  <c r="Z46" i="28"/>
  <c r="Z60" i="28" s="1"/>
  <c r="Z47" i="28"/>
  <c r="Z61" i="28" s="1"/>
  <c r="X50" i="28"/>
  <c r="X64" i="28" s="1"/>
  <c r="X47" i="28"/>
  <c r="X61" i="28" s="1"/>
  <c r="Y42" i="32"/>
  <c r="Y56" i="32" s="1"/>
  <c r="Y47" i="32"/>
  <c r="Y61" i="32" s="1"/>
  <c r="Y50" i="32"/>
  <c r="Y64" i="32" s="1"/>
  <c r="Y45" i="32"/>
  <c r="Y59" i="32" s="1"/>
  <c r="Y49" i="32"/>
  <c r="Y63" i="32" s="1"/>
  <c r="Y44" i="32"/>
  <c r="Y58" i="32" s="1"/>
  <c r="Y46" i="32"/>
  <c r="Y60" i="32" s="1"/>
  <c r="Y48" i="32"/>
  <c r="Y62" i="32" s="1"/>
  <c r="AI48" i="37"/>
  <c r="AI62" i="37" s="1"/>
  <c r="H49" i="34"/>
  <c r="H63" i="34" s="1"/>
  <c r="AE48" i="30"/>
  <c r="AE62" i="30" s="1"/>
  <c r="I47" i="16"/>
  <c r="I61" i="16" s="1"/>
  <c r="AC48" i="32"/>
  <c r="AC62" i="32" s="1"/>
  <c r="K42" i="32"/>
  <c r="K56" i="32" s="1"/>
  <c r="AE45" i="30"/>
  <c r="AE59" i="30" s="1"/>
  <c r="I46" i="16"/>
  <c r="I60" i="16" s="1"/>
  <c r="AC45" i="32"/>
  <c r="AC59" i="32" s="1"/>
  <c r="I45" i="16"/>
  <c r="I59" i="16" s="1"/>
  <c r="AC47" i="32"/>
  <c r="AC61" i="32" s="1"/>
  <c r="AC44" i="32"/>
  <c r="AC58" i="32" s="1"/>
  <c r="AC50" i="32"/>
  <c r="AC64" i="32" s="1"/>
  <c r="AE44" i="30"/>
  <c r="AE58" i="30" s="1"/>
  <c r="AC42" i="32"/>
  <c r="AC56" i="32" s="1"/>
  <c r="AE49" i="30"/>
  <c r="AE63" i="30" s="1"/>
  <c r="S46" i="30"/>
  <c r="S60" i="30" s="1"/>
  <c r="M6" i="27"/>
  <c r="AI46" i="37"/>
  <c r="AI60" i="37" s="1"/>
  <c r="Q50" i="37"/>
  <c r="Q64" i="37" s="1"/>
  <c r="S44" i="30"/>
  <c r="S58" i="30" s="1"/>
  <c r="V46" i="34"/>
  <c r="V60" i="34" s="1"/>
  <c r="AI49" i="29"/>
  <c r="AI63" i="29" s="1"/>
  <c r="Q46" i="37"/>
  <c r="Q60" i="37" s="1"/>
  <c r="S49" i="30"/>
  <c r="S63" i="30" s="1"/>
  <c r="V50" i="34"/>
  <c r="V64" i="34" s="1"/>
  <c r="AI42" i="29"/>
  <c r="AI56" i="29" s="1"/>
  <c r="AI46" i="29"/>
  <c r="AI60" i="29" s="1"/>
  <c r="S47" i="30"/>
  <c r="S61" i="30" s="1"/>
  <c r="AI50" i="29"/>
  <c r="AI64" i="29" s="1"/>
  <c r="Q42" i="37"/>
  <c r="Q56" i="37" s="1"/>
  <c r="V47" i="34"/>
  <c r="V61" i="34" s="1"/>
  <c r="AI44" i="37"/>
  <c r="AI58" i="37" s="1"/>
  <c r="AI42" i="37"/>
  <c r="AI56" i="37" s="1"/>
  <c r="Q49" i="37"/>
  <c r="Q63" i="37" s="1"/>
  <c r="V45" i="34"/>
  <c r="V59" i="34" s="1"/>
  <c r="Y42" i="16"/>
  <c r="Y56" i="16" s="1"/>
  <c r="Q45" i="37"/>
  <c r="Q59" i="37" s="1"/>
  <c r="V42" i="34"/>
  <c r="V56" i="34" s="1"/>
  <c r="Y45" i="16"/>
  <c r="Y59" i="16" s="1"/>
  <c r="AI48" i="29"/>
  <c r="AI62" i="29" s="1"/>
  <c r="AJ11" i="34"/>
  <c r="AH46" i="37"/>
  <c r="AH60" i="37" s="1"/>
  <c r="S49" i="36"/>
  <c r="S63" i="36" s="1"/>
  <c r="S47" i="36"/>
  <c r="S61" i="36" s="1"/>
  <c r="S45" i="36"/>
  <c r="S59" i="36" s="1"/>
  <c r="S46" i="36"/>
  <c r="S60" i="36" s="1"/>
  <c r="S50" i="36"/>
  <c r="S64" i="36" s="1"/>
  <c r="S48" i="36"/>
  <c r="S62" i="36" s="1"/>
  <c r="S42" i="36"/>
  <c r="S56" i="36" s="1"/>
  <c r="S44" i="36"/>
  <c r="S58" i="36" s="1"/>
  <c r="M45" i="32"/>
  <c r="M59" i="32" s="1"/>
  <c r="M42" i="32"/>
  <c r="M56" i="32" s="1"/>
  <c r="M47" i="32"/>
  <c r="M61" i="32" s="1"/>
  <c r="M48" i="32"/>
  <c r="M62" i="32" s="1"/>
  <c r="M49" i="32"/>
  <c r="M63" i="32" s="1"/>
  <c r="M50" i="32"/>
  <c r="M64" i="32" s="1"/>
  <c r="M44" i="32"/>
  <c r="M58" i="32" s="1"/>
  <c r="M46" i="32"/>
  <c r="M60" i="32" s="1"/>
  <c r="S48" i="16"/>
  <c r="S62" i="16" s="1"/>
  <c r="AJ7" i="34"/>
  <c r="AH45" i="37"/>
  <c r="AH59" i="37" s="1"/>
  <c r="AI50" i="31"/>
  <c r="AI64" i="31" s="1"/>
  <c r="AI42" i="31"/>
  <c r="AI56" i="31" s="1"/>
  <c r="AI44" i="31"/>
  <c r="AI58" i="31" s="1"/>
  <c r="AI45" i="31"/>
  <c r="AI59" i="31" s="1"/>
  <c r="AI46" i="31"/>
  <c r="AI60" i="31" s="1"/>
  <c r="AI47" i="31"/>
  <c r="AI61" i="31" s="1"/>
  <c r="AI48" i="31"/>
  <c r="AI62" i="31" s="1"/>
  <c r="AI49" i="31"/>
  <c r="AI63" i="31" s="1"/>
  <c r="K50" i="31"/>
  <c r="K64" i="31" s="1"/>
  <c r="K44" i="31"/>
  <c r="K58" i="31" s="1"/>
  <c r="K45" i="31"/>
  <c r="K59" i="31" s="1"/>
  <c r="K42" i="31"/>
  <c r="K56" i="31" s="1"/>
  <c r="K46" i="31"/>
  <c r="K60" i="31" s="1"/>
  <c r="K48" i="31"/>
  <c r="K62" i="31" s="1"/>
  <c r="K49" i="31"/>
  <c r="K63" i="31" s="1"/>
  <c r="K47" i="31"/>
  <c r="K61" i="31" s="1"/>
  <c r="AH50" i="37"/>
  <c r="AH64" i="37" s="1"/>
  <c r="S48" i="31"/>
  <c r="S62" i="31" s="1"/>
  <c r="S42" i="31"/>
  <c r="S56" i="31" s="1"/>
  <c r="S44" i="31"/>
  <c r="S58" i="31" s="1"/>
  <c r="S47" i="31"/>
  <c r="S61" i="31" s="1"/>
  <c r="S46" i="31"/>
  <c r="S60" i="31" s="1"/>
  <c r="S49" i="31"/>
  <c r="S63" i="31" s="1"/>
  <c r="S50" i="31"/>
  <c r="S64" i="31" s="1"/>
  <c r="S45" i="31"/>
  <c r="S59" i="31" s="1"/>
  <c r="T50" i="30"/>
  <c r="T64" i="30" s="1"/>
  <c r="T42" i="30"/>
  <c r="T56" i="30" s="1"/>
  <c r="T46" i="30"/>
  <c r="T60" i="30" s="1"/>
  <c r="T47" i="30"/>
  <c r="T61" i="30" s="1"/>
  <c r="T48" i="30"/>
  <c r="T62" i="30" s="1"/>
  <c r="T44" i="30"/>
  <c r="T58" i="30" s="1"/>
  <c r="T49" i="30"/>
  <c r="T63" i="30" s="1"/>
  <c r="T45" i="30"/>
  <c r="T59" i="30" s="1"/>
  <c r="K47" i="32"/>
  <c r="K61" i="32" s="1"/>
  <c r="K50" i="32"/>
  <c r="K64" i="32" s="1"/>
  <c r="K44" i="32"/>
  <c r="K58" i="32" s="1"/>
  <c r="K48" i="32"/>
  <c r="K62" i="32" s="1"/>
  <c r="K45" i="32"/>
  <c r="K59" i="32" s="1"/>
  <c r="L42" i="28"/>
  <c r="L56" i="28" s="1"/>
  <c r="L44" i="28"/>
  <c r="L58" i="28" s="1"/>
  <c r="L45" i="28"/>
  <c r="L59" i="28" s="1"/>
  <c r="L47" i="28"/>
  <c r="L61" i="28" s="1"/>
  <c r="L46" i="28"/>
  <c r="L60" i="28" s="1"/>
  <c r="L48" i="28"/>
  <c r="L62" i="28" s="1"/>
  <c r="L49" i="28"/>
  <c r="L63" i="28" s="1"/>
  <c r="L50" i="28"/>
  <c r="L64" i="28" s="1"/>
  <c r="R42" i="35"/>
  <c r="R56" i="35" s="1"/>
  <c r="R49" i="35"/>
  <c r="R63" i="35" s="1"/>
  <c r="R45" i="35"/>
  <c r="R59" i="35" s="1"/>
  <c r="R44" i="35"/>
  <c r="R58" i="35" s="1"/>
  <c r="R50" i="35"/>
  <c r="R64" i="35" s="1"/>
  <c r="R46" i="35"/>
  <c r="R60" i="35" s="1"/>
  <c r="R48" i="35"/>
  <c r="R62" i="35" s="1"/>
  <c r="R47" i="35"/>
  <c r="R61" i="35" s="1"/>
  <c r="P47" i="31"/>
  <c r="P61" i="31" s="1"/>
  <c r="P42" i="31"/>
  <c r="P56" i="31" s="1"/>
  <c r="P44" i="31"/>
  <c r="P58" i="31" s="1"/>
  <c r="P49" i="31"/>
  <c r="P63" i="31" s="1"/>
  <c r="P45" i="31"/>
  <c r="P59" i="31" s="1"/>
  <c r="P50" i="31"/>
  <c r="P64" i="31" s="1"/>
  <c r="P48" i="31"/>
  <c r="P62" i="31" s="1"/>
  <c r="P46" i="31"/>
  <c r="P60" i="31" s="1"/>
  <c r="AH48" i="37"/>
  <c r="AH62" i="37" s="1"/>
  <c r="X49" i="30"/>
  <c r="X63" i="30" s="1"/>
  <c r="X47" i="30"/>
  <c r="X61" i="30" s="1"/>
  <c r="X45" i="30"/>
  <c r="X59" i="30" s="1"/>
  <c r="X48" i="30"/>
  <c r="X62" i="30" s="1"/>
  <c r="X44" i="30"/>
  <c r="X58" i="30" s="1"/>
  <c r="AA44" i="31"/>
  <c r="AA58" i="31" s="1"/>
  <c r="AA50" i="31"/>
  <c r="AA64" i="31" s="1"/>
  <c r="AA47" i="31"/>
  <c r="AA61" i="31" s="1"/>
  <c r="AA46" i="31"/>
  <c r="AA60" i="31" s="1"/>
  <c r="AA48" i="31"/>
  <c r="AA62" i="31" s="1"/>
  <c r="AA49" i="31"/>
  <c r="AA63" i="31" s="1"/>
  <c r="AA42" i="31"/>
  <c r="AA56" i="31" s="1"/>
  <c r="AA45" i="31"/>
  <c r="AA59" i="31" s="1"/>
  <c r="AH47" i="37"/>
  <c r="AH61" i="37" s="1"/>
  <c r="AH42" i="37"/>
  <c r="AH56" i="37" s="1"/>
  <c r="H50" i="31"/>
  <c r="H64" i="31" s="1"/>
  <c r="H48" i="31"/>
  <c r="H62" i="31" s="1"/>
  <c r="H49" i="31"/>
  <c r="H63" i="31" s="1"/>
  <c r="H44" i="31"/>
  <c r="H58" i="31" s="1"/>
  <c r="H45" i="31"/>
  <c r="H59" i="31" s="1"/>
  <c r="H47" i="31"/>
  <c r="H61" i="31" s="1"/>
  <c r="H46" i="31"/>
  <c r="H60" i="31" s="1"/>
  <c r="AI46" i="32"/>
  <c r="AI60" i="32" s="1"/>
  <c r="AI42" i="32"/>
  <c r="AI56" i="32" s="1"/>
  <c r="AI50" i="32"/>
  <c r="AI64" i="32" s="1"/>
  <c r="AD47" i="32"/>
  <c r="AD61" i="32" s="1"/>
  <c r="AD44" i="32"/>
  <c r="AD58" i="32" s="1"/>
  <c r="AD45" i="32"/>
  <c r="AD59" i="32" s="1"/>
  <c r="AD48" i="32"/>
  <c r="AD62" i="32" s="1"/>
  <c r="AD49" i="32"/>
  <c r="AD63" i="32" s="1"/>
  <c r="AD42" i="32"/>
  <c r="AD56" i="32" s="1"/>
  <c r="S47" i="16"/>
  <c r="S61" i="16" s="1"/>
  <c r="I50" i="34"/>
  <c r="I64" i="34" s="1"/>
  <c r="I42" i="34"/>
  <c r="I56" i="34" s="1"/>
  <c r="I47" i="34"/>
  <c r="I61" i="34" s="1"/>
  <c r="I45" i="34"/>
  <c r="I59" i="34" s="1"/>
  <c r="L49" i="16"/>
  <c r="L63" i="16" s="1"/>
  <c r="L48" i="16"/>
  <c r="L62" i="16" s="1"/>
  <c r="L50" i="16"/>
  <c r="L64" i="16" s="1"/>
  <c r="L44" i="16"/>
  <c r="L58" i="16" s="1"/>
  <c r="L47" i="16"/>
  <c r="L61" i="16" s="1"/>
  <c r="L42" i="16"/>
  <c r="L56" i="16" s="1"/>
  <c r="L46" i="16"/>
  <c r="L60" i="16" s="1"/>
  <c r="L45" i="16"/>
  <c r="L59" i="16" s="1"/>
  <c r="S44" i="16"/>
  <c r="S58" i="16" s="1"/>
  <c r="AD50" i="32"/>
  <c r="AD64" i="32" s="1"/>
  <c r="O49" i="34"/>
  <c r="O63" i="34" s="1"/>
  <c r="O50" i="34"/>
  <c r="O64" i="34" s="1"/>
  <c r="O44" i="34"/>
  <c r="O58" i="34" s="1"/>
  <c r="O46" i="34"/>
  <c r="O60" i="34" s="1"/>
  <c r="O42" i="34"/>
  <c r="O56" i="34" s="1"/>
  <c r="O48" i="34"/>
  <c r="O62" i="34" s="1"/>
  <c r="O47" i="34"/>
  <c r="O61" i="34" s="1"/>
  <c r="O45" i="34"/>
  <c r="O59" i="34" s="1"/>
  <c r="U50" i="30"/>
  <c r="U64" i="30" s="1"/>
  <c r="U47" i="30"/>
  <c r="U61" i="30" s="1"/>
  <c r="U42" i="30"/>
  <c r="U56" i="30" s="1"/>
  <c r="U49" i="30"/>
  <c r="U63" i="30" s="1"/>
  <c r="U46" i="30"/>
  <c r="U60" i="30" s="1"/>
  <c r="U44" i="30"/>
  <c r="U58" i="30" s="1"/>
  <c r="U48" i="30"/>
  <c r="U62" i="30" s="1"/>
  <c r="U45" i="30"/>
  <c r="U59" i="30" s="1"/>
  <c r="AI49" i="37"/>
  <c r="AI63" i="37" s="1"/>
  <c r="AI50" i="37"/>
  <c r="AI64" i="37" s="1"/>
  <c r="AB45" i="34"/>
  <c r="AB59" i="34" s="1"/>
  <c r="AB44" i="34"/>
  <c r="AB58" i="34" s="1"/>
  <c r="AB47" i="34"/>
  <c r="AB61" i="34" s="1"/>
  <c r="AB46" i="34"/>
  <c r="AB60" i="34" s="1"/>
  <c r="AB49" i="34"/>
  <c r="AB63" i="34" s="1"/>
  <c r="S45" i="16"/>
  <c r="S59" i="16" s="1"/>
  <c r="AD46" i="32"/>
  <c r="AD60" i="32" s="1"/>
  <c r="Y46" i="31"/>
  <c r="Y60" i="31" s="1"/>
  <c r="Y47" i="31"/>
  <c r="Y61" i="31" s="1"/>
  <c r="Y48" i="31"/>
  <c r="Y62" i="31" s="1"/>
  <c r="Y45" i="31"/>
  <c r="Y59" i="31" s="1"/>
  <c r="Y49" i="31"/>
  <c r="Y63" i="31" s="1"/>
  <c r="Y42" i="31"/>
  <c r="Y56" i="31" s="1"/>
  <c r="Y50" i="31"/>
  <c r="Y64" i="31" s="1"/>
  <c r="Y44" i="31"/>
  <c r="Y58" i="31" s="1"/>
  <c r="AC50" i="16"/>
  <c r="AC64" i="16" s="1"/>
  <c r="AC44" i="16"/>
  <c r="AC58" i="16" s="1"/>
  <c r="AC45" i="16"/>
  <c r="AC59" i="16" s="1"/>
  <c r="AC47" i="16"/>
  <c r="AC61" i="16" s="1"/>
  <c r="AC48" i="16"/>
  <c r="AC62" i="16" s="1"/>
  <c r="AC49" i="16"/>
  <c r="AC63" i="16" s="1"/>
  <c r="AC42" i="16"/>
  <c r="AC56" i="16" s="1"/>
  <c r="AC46" i="16"/>
  <c r="AC60" i="16" s="1"/>
  <c r="L47" i="30"/>
  <c r="L61" i="30" s="1"/>
  <c r="L44" i="30"/>
  <c r="L58" i="30" s="1"/>
  <c r="L49" i="30"/>
  <c r="L63" i="30" s="1"/>
  <c r="L46" i="30"/>
  <c r="L60" i="30" s="1"/>
  <c r="L42" i="30"/>
  <c r="L56" i="30" s="1"/>
  <c r="L50" i="30"/>
  <c r="L64" i="30" s="1"/>
  <c r="L45" i="30"/>
  <c r="L59" i="30" s="1"/>
  <c r="L48" i="30"/>
  <c r="L62" i="30" s="1"/>
  <c r="T44" i="32"/>
  <c r="T58" i="32" s="1"/>
  <c r="T48" i="32"/>
  <c r="T62" i="32" s="1"/>
  <c r="T50" i="32"/>
  <c r="T64" i="32" s="1"/>
  <c r="T45" i="32"/>
  <c r="T59" i="32" s="1"/>
  <c r="T42" i="32"/>
  <c r="T56" i="32" s="1"/>
  <c r="T49" i="32"/>
  <c r="T63" i="32" s="1"/>
  <c r="T47" i="32"/>
  <c r="T61" i="32" s="1"/>
  <c r="T46" i="32"/>
  <c r="T60" i="32" s="1"/>
  <c r="AB42" i="34"/>
  <c r="AB56" i="34" s="1"/>
  <c r="AE45" i="31"/>
  <c r="AE59" i="31" s="1"/>
  <c r="AE48" i="31"/>
  <c r="AE62" i="31" s="1"/>
  <c r="AE50" i="31"/>
  <c r="AE64" i="31" s="1"/>
  <c r="AE49" i="31"/>
  <c r="AE63" i="31" s="1"/>
  <c r="AE46" i="31"/>
  <c r="AE60" i="31" s="1"/>
  <c r="AE42" i="31"/>
  <c r="AE56" i="31" s="1"/>
  <c r="AE44" i="31"/>
  <c r="AE58" i="31" s="1"/>
  <c r="AE47" i="31"/>
  <c r="AE61" i="31" s="1"/>
  <c r="J48" i="31"/>
  <c r="J62" i="31" s="1"/>
  <c r="J42" i="31"/>
  <c r="J56" i="31" s="1"/>
  <c r="J44" i="31"/>
  <c r="J58" i="31" s="1"/>
  <c r="J47" i="31"/>
  <c r="J61" i="31" s="1"/>
  <c r="J45" i="31"/>
  <c r="J59" i="31" s="1"/>
  <c r="J49" i="31"/>
  <c r="J63" i="31" s="1"/>
  <c r="J46" i="31"/>
  <c r="J60" i="31" s="1"/>
  <c r="J50" i="31"/>
  <c r="J64" i="31" s="1"/>
  <c r="S46" i="16"/>
  <c r="S60" i="16" s="1"/>
  <c r="S42" i="16"/>
  <c r="S56" i="16" s="1"/>
  <c r="AB50" i="34"/>
  <c r="AB64" i="34" s="1"/>
  <c r="I42" i="32"/>
  <c r="I56" i="32" s="1"/>
  <c r="I48" i="32"/>
  <c r="I62" i="32" s="1"/>
  <c r="I44" i="32"/>
  <c r="I58" i="32" s="1"/>
  <c r="I49" i="32"/>
  <c r="I63" i="32" s="1"/>
  <c r="I45" i="32"/>
  <c r="I59" i="32" s="1"/>
  <c r="I50" i="32"/>
  <c r="I64" i="32" s="1"/>
  <c r="I46" i="32"/>
  <c r="I60" i="32" s="1"/>
  <c r="I47" i="32"/>
  <c r="I61" i="32" s="1"/>
  <c r="S49" i="16"/>
  <c r="S63" i="16" s="1"/>
  <c r="AB48" i="34"/>
  <c r="AB62" i="34" s="1"/>
  <c r="O46" i="16"/>
  <c r="O60" i="16" s="1"/>
  <c r="O50" i="16"/>
  <c r="O64" i="16" s="1"/>
  <c r="O44" i="16"/>
  <c r="O58" i="16" s="1"/>
  <c r="O48" i="16"/>
  <c r="O62" i="16" s="1"/>
  <c r="O45" i="16"/>
  <c r="O59" i="16" s="1"/>
  <c r="O49" i="16"/>
  <c r="O63" i="16" s="1"/>
  <c r="O47" i="16"/>
  <c r="O61" i="16" s="1"/>
  <c r="O42" i="16"/>
  <c r="O56" i="16" s="1"/>
  <c r="T42" i="34"/>
  <c r="T56" i="34" s="1"/>
  <c r="T50" i="34"/>
  <c r="T64" i="34" s="1"/>
  <c r="T45" i="34"/>
  <c r="T59" i="34" s="1"/>
  <c r="T47" i="34"/>
  <c r="T61" i="34" s="1"/>
  <c r="T44" i="34"/>
  <c r="T58" i="34" s="1"/>
  <c r="T48" i="34"/>
  <c r="T62" i="34" s="1"/>
  <c r="T49" i="34"/>
  <c r="T63" i="34" s="1"/>
  <c r="T46" i="34"/>
  <c r="T60" i="34" s="1"/>
  <c r="W49" i="35"/>
  <c r="W63" i="35" s="1"/>
  <c r="W46" i="35"/>
  <c r="W60" i="35" s="1"/>
  <c r="W47" i="35"/>
  <c r="W61" i="35" s="1"/>
  <c r="W48" i="35"/>
  <c r="W62" i="35" s="1"/>
  <c r="W50" i="35"/>
  <c r="W64" i="35" s="1"/>
  <c r="W44" i="35"/>
  <c r="W58" i="35" s="1"/>
  <c r="W42" i="35"/>
  <c r="W56" i="35" s="1"/>
  <c r="W45" i="35"/>
  <c r="W59" i="35" s="1"/>
  <c r="R44" i="32"/>
  <c r="R58" i="32" s="1"/>
  <c r="R49" i="32"/>
  <c r="R63" i="32" s="1"/>
  <c r="R50" i="32"/>
  <c r="R64" i="32" s="1"/>
  <c r="R46" i="32"/>
  <c r="R60" i="32" s="1"/>
  <c r="R42" i="32"/>
  <c r="R56" i="32" s="1"/>
  <c r="R45" i="32"/>
  <c r="R59" i="32" s="1"/>
  <c r="R47" i="32"/>
  <c r="R61" i="32" s="1"/>
  <c r="R48" i="32"/>
  <c r="R62" i="32" s="1"/>
  <c r="U50" i="37"/>
  <c r="U64" i="37" s="1"/>
  <c r="U42" i="37"/>
  <c r="U56" i="37" s="1"/>
  <c r="U49" i="37"/>
  <c r="U63" i="37" s="1"/>
  <c r="U45" i="37"/>
  <c r="U59" i="37" s="1"/>
  <c r="U46" i="37"/>
  <c r="U60" i="37" s="1"/>
  <c r="U44" i="37"/>
  <c r="U58" i="37" s="1"/>
  <c r="U47" i="37"/>
  <c r="U61" i="37" s="1"/>
  <c r="U48" i="37"/>
  <c r="U62" i="37" s="1"/>
  <c r="AB42" i="37"/>
  <c r="AB56" i="37" s="1"/>
  <c r="AB46" i="37"/>
  <c r="AB60" i="37" s="1"/>
  <c r="AB49" i="37"/>
  <c r="AB63" i="37" s="1"/>
  <c r="AB45" i="37"/>
  <c r="AB59" i="37" s="1"/>
  <c r="AB50" i="37"/>
  <c r="AB64" i="37" s="1"/>
  <c r="AB47" i="37"/>
  <c r="AB61" i="37" s="1"/>
  <c r="AB48" i="37"/>
  <c r="AB62" i="37" s="1"/>
  <c r="AB44" i="37"/>
  <c r="AB58" i="37" s="1"/>
  <c r="Z47" i="34"/>
  <c r="Z61" i="34" s="1"/>
  <c r="Z48" i="34"/>
  <c r="Z62" i="34" s="1"/>
  <c r="Z49" i="34"/>
  <c r="Z63" i="34" s="1"/>
  <c r="Z50" i="34"/>
  <c r="Z64" i="34" s="1"/>
  <c r="Z42" i="34"/>
  <c r="Z56" i="34" s="1"/>
  <c r="Z44" i="34"/>
  <c r="Z58" i="34" s="1"/>
  <c r="Z45" i="34"/>
  <c r="Z59" i="34" s="1"/>
  <c r="Z46" i="34"/>
  <c r="Z60" i="34" s="1"/>
  <c r="AH46" i="30"/>
  <c r="AH60" i="30" s="1"/>
  <c r="AH42" i="30"/>
  <c r="AH56" i="30" s="1"/>
  <c r="AH48" i="30"/>
  <c r="AH62" i="30" s="1"/>
  <c r="AH45" i="30"/>
  <c r="AH59" i="30" s="1"/>
  <c r="AH47" i="30"/>
  <c r="AH61" i="30" s="1"/>
  <c r="AH44" i="30"/>
  <c r="AH58" i="30" s="1"/>
  <c r="AH49" i="30"/>
  <c r="AH63" i="30" s="1"/>
  <c r="AH50" i="30"/>
  <c r="AH64" i="30" s="1"/>
  <c r="P48" i="35"/>
  <c r="P62" i="35" s="1"/>
  <c r="P49" i="35"/>
  <c r="P63" i="35" s="1"/>
  <c r="P50" i="35"/>
  <c r="P64" i="35" s="1"/>
  <c r="P42" i="35"/>
  <c r="P56" i="35" s="1"/>
  <c r="P44" i="35"/>
  <c r="P58" i="35" s="1"/>
  <c r="P45" i="35"/>
  <c r="P59" i="35" s="1"/>
  <c r="P46" i="35"/>
  <c r="P60" i="35" s="1"/>
  <c r="P47" i="35"/>
  <c r="P61" i="35" s="1"/>
  <c r="U50" i="32"/>
  <c r="U64" i="32" s="1"/>
  <c r="U49" i="32"/>
  <c r="U63" i="32" s="1"/>
  <c r="U44" i="32"/>
  <c r="U58" i="32" s="1"/>
  <c r="U47" i="32"/>
  <c r="U61" i="32" s="1"/>
  <c r="U45" i="32"/>
  <c r="U59" i="32" s="1"/>
  <c r="U48" i="32"/>
  <c r="U62" i="32" s="1"/>
  <c r="U42" i="32"/>
  <c r="U56" i="32" s="1"/>
  <c r="U46" i="32"/>
  <c r="U60" i="32" s="1"/>
  <c r="H49" i="36"/>
  <c r="H63" i="36" s="1"/>
  <c r="H44" i="36"/>
  <c r="H58" i="36" s="1"/>
  <c r="H46" i="36"/>
  <c r="H60" i="36" s="1"/>
  <c r="H47" i="36"/>
  <c r="H61" i="36" s="1"/>
  <c r="H45" i="36"/>
  <c r="H59" i="36" s="1"/>
  <c r="H48" i="36"/>
  <c r="H62" i="36" s="1"/>
  <c r="H50" i="36"/>
  <c r="H64" i="36" s="1"/>
  <c r="H46" i="32"/>
  <c r="H60" i="32" s="1"/>
  <c r="H48" i="32"/>
  <c r="H62" i="32" s="1"/>
  <c r="H49" i="32"/>
  <c r="H63" i="32" s="1"/>
  <c r="H44" i="32"/>
  <c r="H58" i="32" s="1"/>
  <c r="H45" i="32"/>
  <c r="H59" i="32" s="1"/>
  <c r="H50" i="32"/>
  <c r="H64" i="32" s="1"/>
  <c r="H47" i="32"/>
  <c r="H61" i="32" s="1"/>
  <c r="O46" i="32"/>
  <c r="O60" i="32" s="1"/>
  <c r="O47" i="32"/>
  <c r="O61" i="32" s="1"/>
  <c r="O48" i="32"/>
  <c r="O62" i="32" s="1"/>
  <c r="O44" i="32"/>
  <c r="O58" i="32" s="1"/>
  <c r="O50" i="32"/>
  <c r="O64" i="32" s="1"/>
  <c r="O49" i="32"/>
  <c r="O63" i="32" s="1"/>
  <c r="O42" i="32"/>
  <c r="O56" i="32" s="1"/>
  <c r="O45" i="32"/>
  <c r="O59" i="32" s="1"/>
  <c r="AG44" i="36"/>
  <c r="AG58" i="36" s="1"/>
  <c r="AG45" i="36"/>
  <c r="AG59" i="36" s="1"/>
  <c r="AG50" i="36"/>
  <c r="AG64" i="36" s="1"/>
  <c r="AG42" i="36"/>
  <c r="AG56" i="36" s="1"/>
  <c r="AG49" i="36"/>
  <c r="AG63" i="36" s="1"/>
  <c r="AG46" i="36"/>
  <c r="AG60" i="36" s="1"/>
  <c r="AG48" i="36"/>
  <c r="AG62" i="36" s="1"/>
  <c r="AG47" i="36"/>
  <c r="AG61" i="36" s="1"/>
  <c r="AD42" i="33"/>
  <c r="AD56" i="33" s="1"/>
  <c r="AD44" i="33"/>
  <c r="AD58" i="33" s="1"/>
  <c r="AD45" i="33"/>
  <c r="AD59" i="33" s="1"/>
  <c r="AD46" i="33"/>
  <c r="AD60" i="33" s="1"/>
  <c r="AD48" i="33"/>
  <c r="AD62" i="33" s="1"/>
  <c r="AD47" i="33"/>
  <c r="AD61" i="33" s="1"/>
  <c r="AD49" i="33"/>
  <c r="AD63" i="33" s="1"/>
  <c r="AD50" i="33"/>
  <c r="AD64" i="33" s="1"/>
  <c r="AD42" i="28"/>
  <c r="AD56" i="28" s="1"/>
  <c r="AD46" i="28"/>
  <c r="AD60" i="28" s="1"/>
  <c r="AD47" i="28"/>
  <c r="AD61" i="28" s="1"/>
  <c r="AD48" i="28"/>
  <c r="AD62" i="28" s="1"/>
  <c r="AD49" i="28"/>
  <c r="AD63" i="28" s="1"/>
  <c r="AD44" i="28"/>
  <c r="AD58" i="28" s="1"/>
  <c r="AD50" i="28"/>
  <c r="AD64" i="28" s="1"/>
  <c r="AD45" i="28"/>
  <c r="AD59" i="28" s="1"/>
  <c r="AK7" i="35"/>
  <c r="AK11" i="35"/>
  <c r="AL12" i="35"/>
  <c r="AL9" i="35" s="1"/>
  <c r="AI42" i="16"/>
  <c r="AI56" i="16" s="1"/>
  <c r="AI44" i="16"/>
  <c r="AI58" i="16" s="1"/>
  <c r="AI47" i="16"/>
  <c r="AI61" i="16" s="1"/>
  <c r="AI45" i="16"/>
  <c r="AI59" i="16" s="1"/>
  <c r="AI46" i="16"/>
  <c r="AI60" i="16" s="1"/>
  <c r="AI48" i="16"/>
  <c r="AI62" i="16" s="1"/>
  <c r="AI49" i="16"/>
  <c r="AI63" i="16" s="1"/>
  <c r="AI50" i="16"/>
  <c r="AI64" i="16" s="1"/>
  <c r="Y47" i="16"/>
  <c r="Y61" i="16" s="1"/>
  <c r="Y49" i="16"/>
  <c r="Y63" i="16" s="1"/>
  <c r="Y48" i="16"/>
  <c r="Y62" i="16" s="1"/>
  <c r="Y46" i="16"/>
  <c r="Y60" i="16" s="1"/>
  <c r="Y50" i="16"/>
  <c r="Y64" i="16" s="1"/>
  <c r="V49" i="32"/>
  <c r="V63" i="32" s="1"/>
  <c r="V46" i="32"/>
  <c r="V60" i="32" s="1"/>
  <c r="V47" i="32"/>
  <c r="V61" i="32" s="1"/>
  <c r="V45" i="32"/>
  <c r="V59" i="32" s="1"/>
  <c r="V48" i="32"/>
  <c r="V62" i="32" s="1"/>
  <c r="V42" i="32"/>
  <c r="V56" i="32" s="1"/>
  <c r="V50" i="32"/>
  <c r="V64" i="32" s="1"/>
  <c r="V44" i="32"/>
  <c r="V58" i="32" s="1"/>
  <c r="J46" i="34"/>
  <c r="J60" i="34" s="1"/>
  <c r="J44" i="34"/>
  <c r="J58" i="34" s="1"/>
  <c r="J49" i="34"/>
  <c r="J63" i="34" s="1"/>
  <c r="J50" i="34"/>
  <c r="J64" i="34" s="1"/>
  <c r="J42" i="34"/>
  <c r="J56" i="34" s="1"/>
  <c r="J47" i="34"/>
  <c r="J61" i="34" s="1"/>
  <c r="J48" i="34"/>
  <c r="J62" i="34" s="1"/>
  <c r="J45" i="34"/>
  <c r="J59" i="34" s="1"/>
  <c r="Y50" i="30"/>
  <c r="Y64" i="30" s="1"/>
  <c r="Y42" i="30"/>
  <c r="Y56" i="30" s="1"/>
  <c r="Y44" i="30"/>
  <c r="Y58" i="30" s="1"/>
  <c r="Y45" i="30"/>
  <c r="Y59" i="30" s="1"/>
  <c r="Y46" i="30"/>
  <c r="Y60" i="30" s="1"/>
  <c r="Y47" i="30"/>
  <c r="Y61" i="30" s="1"/>
  <c r="Y48" i="30"/>
  <c r="Y62" i="30" s="1"/>
  <c r="Y49" i="30"/>
  <c r="Y63" i="30" s="1"/>
  <c r="W44" i="37"/>
  <c r="W58" i="37" s="1"/>
  <c r="W46" i="37"/>
  <c r="W60" i="37" s="1"/>
  <c r="W47" i="37"/>
  <c r="W61" i="37" s="1"/>
  <c r="W48" i="37"/>
  <c r="W62" i="37" s="1"/>
  <c r="W49" i="37"/>
  <c r="W63" i="37" s="1"/>
  <c r="W50" i="37"/>
  <c r="W64" i="37" s="1"/>
  <c r="W45" i="37"/>
  <c r="W59" i="37" s="1"/>
  <c r="W42" i="37"/>
  <c r="W56" i="37" s="1"/>
  <c r="T50" i="35"/>
  <c r="T64" i="35" s="1"/>
  <c r="T44" i="35"/>
  <c r="T58" i="35" s="1"/>
  <c r="T45" i="35"/>
  <c r="T59" i="35" s="1"/>
  <c r="T49" i="35"/>
  <c r="T63" i="35" s="1"/>
  <c r="T47" i="35"/>
  <c r="T61" i="35" s="1"/>
  <c r="T48" i="35"/>
  <c r="T62" i="35" s="1"/>
  <c r="T42" i="35"/>
  <c r="T56" i="35" s="1"/>
  <c r="T46" i="35"/>
  <c r="T60" i="35" s="1"/>
  <c r="O42" i="33"/>
  <c r="O56" i="33" s="1"/>
  <c r="O47" i="33"/>
  <c r="O61" i="33" s="1"/>
  <c r="O48" i="33"/>
  <c r="O62" i="33" s="1"/>
  <c r="O49" i="33"/>
  <c r="O63" i="33" s="1"/>
  <c r="O50" i="33"/>
  <c r="O64" i="33" s="1"/>
  <c r="O44" i="33"/>
  <c r="O58" i="33" s="1"/>
  <c r="O45" i="33"/>
  <c r="O59" i="33" s="1"/>
  <c r="O46" i="33"/>
  <c r="O60" i="33" s="1"/>
  <c r="AA46" i="33"/>
  <c r="AA60" i="33" s="1"/>
  <c r="AA45" i="33"/>
  <c r="AA59" i="33" s="1"/>
  <c r="AA44" i="33"/>
  <c r="AA58" i="33" s="1"/>
  <c r="AA47" i="33"/>
  <c r="AA61" i="33" s="1"/>
  <c r="AA49" i="33"/>
  <c r="AA63" i="33" s="1"/>
  <c r="AA50" i="33"/>
  <c r="AA64" i="33" s="1"/>
  <c r="AA48" i="33"/>
  <c r="AA62" i="33" s="1"/>
  <c r="AA42" i="33"/>
  <c r="AA56" i="33" s="1"/>
  <c r="J45" i="16"/>
  <c r="J59" i="16" s="1"/>
  <c r="J47" i="16"/>
  <c r="J61" i="16" s="1"/>
  <c r="J49" i="16"/>
  <c r="J63" i="16" s="1"/>
  <c r="J50" i="16"/>
  <c r="J64" i="16" s="1"/>
  <c r="J48" i="16"/>
  <c r="J62" i="16" s="1"/>
  <c r="J42" i="16"/>
  <c r="J56" i="16" s="1"/>
  <c r="J46" i="16"/>
  <c r="J60" i="16" s="1"/>
  <c r="J44" i="16"/>
  <c r="J58" i="16" s="1"/>
  <c r="AE46" i="37"/>
  <c r="AE60" i="37" s="1"/>
  <c r="AE48" i="37"/>
  <c r="AE62" i="37" s="1"/>
  <c r="AE42" i="37"/>
  <c r="AE56" i="37" s="1"/>
  <c r="AE49" i="37"/>
  <c r="AE63" i="37" s="1"/>
  <c r="AE50" i="37"/>
  <c r="AE64" i="37" s="1"/>
  <c r="AE45" i="37"/>
  <c r="AE59" i="37" s="1"/>
  <c r="AE44" i="37"/>
  <c r="AE58" i="37" s="1"/>
  <c r="AE47" i="37"/>
  <c r="AE61" i="37" s="1"/>
  <c r="AA42" i="34"/>
  <c r="AA56" i="34" s="1"/>
  <c r="AA48" i="34"/>
  <c r="AA62" i="34" s="1"/>
  <c r="AA49" i="34"/>
  <c r="AA63" i="34" s="1"/>
  <c r="AA50" i="34"/>
  <c r="AA64" i="34" s="1"/>
  <c r="AA44" i="34"/>
  <c r="AA58" i="34" s="1"/>
  <c r="AA45" i="34"/>
  <c r="AA59" i="34" s="1"/>
  <c r="AA46" i="34"/>
  <c r="AA60" i="34" s="1"/>
  <c r="AA47" i="34"/>
  <c r="AA61" i="34" s="1"/>
  <c r="S48" i="32"/>
  <c r="S62" i="32" s="1"/>
  <c r="S44" i="32"/>
  <c r="S58" i="32" s="1"/>
  <c r="S47" i="32"/>
  <c r="S61" i="32" s="1"/>
  <c r="AJ11" i="16"/>
  <c r="AK12" i="16"/>
  <c r="AK9" i="16" s="1"/>
  <c r="AJ7" i="16"/>
  <c r="I42" i="35"/>
  <c r="I56" i="35" s="1"/>
  <c r="I44" i="35"/>
  <c r="I58" i="35" s="1"/>
  <c r="I45" i="35"/>
  <c r="I59" i="35" s="1"/>
  <c r="I48" i="35"/>
  <c r="I62" i="35" s="1"/>
  <c r="I49" i="35"/>
  <c r="I63" i="35" s="1"/>
  <c r="I50" i="35"/>
  <c r="I64" i="35" s="1"/>
  <c r="I46" i="35"/>
  <c r="I60" i="35" s="1"/>
  <c r="I47" i="35"/>
  <c r="I61" i="35" s="1"/>
  <c r="X46" i="37"/>
  <c r="X60" i="37" s="1"/>
  <c r="X48" i="37"/>
  <c r="X62" i="37" s="1"/>
  <c r="X42" i="37"/>
  <c r="X56" i="37" s="1"/>
  <c r="X45" i="37"/>
  <c r="X59" i="37" s="1"/>
  <c r="X47" i="37"/>
  <c r="X61" i="37" s="1"/>
  <c r="X49" i="37"/>
  <c r="X63" i="37" s="1"/>
  <c r="X50" i="37"/>
  <c r="X64" i="37" s="1"/>
  <c r="X44" i="37"/>
  <c r="X58" i="37" s="1"/>
  <c r="AE42" i="32"/>
  <c r="AE56" i="32" s="1"/>
  <c r="AE45" i="32"/>
  <c r="AE59" i="32" s="1"/>
  <c r="AE47" i="32"/>
  <c r="AE61" i="32" s="1"/>
  <c r="AE48" i="32"/>
  <c r="AE62" i="32" s="1"/>
  <c r="AE50" i="32"/>
  <c r="AE64" i="32" s="1"/>
  <c r="AE46" i="32"/>
  <c r="AE60" i="32" s="1"/>
  <c r="AE49" i="32"/>
  <c r="AE63" i="32" s="1"/>
  <c r="AE44" i="32"/>
  <c r="AE58" i="32" s="1"/>
  <c r="K42" i="37"/>
  <c r="K56" i="37" s="1"/>
  <c r="K50" i="37"/>
  <c r="K64" i="37" s="1"/>
  <c r="K44" i="37"/>
  <c r="K58" i="37" s="1"/>
  <c r="K45" i="37"/>
  <c r="K59" i="37" s="1"/>
  <c r="K47" i="37"/>
  <c r="K61" i="37" s="1"/>
  <c r="K48" i="37"/>
  <c r="K62" i="37" s="1"/>
  <c r="K49" i="37"/>
  <c r="K63" i="37" s="1"/>
  <c r="K46" i="37"/>
  <c r="K60" i="37" s="1"/>
  <c r="H44" i="16"/>
  <c r="H58" i="16" s="1"/>
  <c r="H45" i="16"/>
  <c r="H59" i="16" s="1"/>
  <c r="H46" i="16"/>
  <c r="H60" i="16" s="1"/>
  <c r="H47" i="16"/>
  <c r="H61" i="16" s="1"/>
  <c r="H48" i="16"/>
  <c r="H62" i="16" s="1"/>
  <c r="H49" i="16"/>
  <c r="H63" i="16" s="1"/>
  <c r="H50" i="16"/>
  <c r="H64" i="16" s="1"/>
  <c r="L45" i="32"/>
  <c r="L59" i="32" s="1"/>
  <c r="L46" i="32"/>
  <c r="L60" i="32" s="1"/>
  <c r="L50" i="32"/>
  <c r="L64" i="32" s="1"/>
  <c r="L48" i="32"/>
  <c r="L62" i="32" s="1"/>
  <c r="L47" i="32"/>
  <c r="L61" i="32" s="1"/>
  <c r="L49" i="32"/>
  <c r="L63" i="32" s="1"/>
  <c r="L42" i="32"/>
  <c r="L56" i="32" s="1"/>
  <c r="L44" i="32"/>
  <c r="L58" i="32" s="1"/>
  <c r="N47" i="34"/>
  <c r="N61" i="34" s="1"/>
  <c r="N49" i="34"/>
  <c r="N63" i="34" s="1"/>
  <c r="N50" i="34"/>
  <c r="N64" i="34" s="1"/>
  <c r="N45" i="34"/>
  <c r="N59" i="34" s="1"/>
  <c r="N48" i="34"/>
  <c r="N62" i="34" s="1"/>
  <c r="N42" i="34"/>
  <c r="N56" i="34" s="1"/>
  <c r="N44" i="34"/>
  <c r="N58" i="34" s="1"/>
  <c r="N46" i="34"/>
  <c r="N60" i="34" s="1"/>
  <c r="V45" i="36"/>
  <c r="V59" i="36" s="1"/>
  <c r="V46" i="36"/>
  <c r="V60" i="36" s="1"/>
  <c r="V48" i="36"/>
  <c r="V62" i="36" s="1"/>
  <c r="V49" i="36"/>
  <c r="V63" i="36" s="1"/>
  <c r="V44" i="36"/>
  <c r="V58" i="36" s="1"/>
  <c r="V47" i="36"/>
  <c r="V61" i="36" s="1"/>
  <c r="V50" i="36"/>
  <c r="V64" i="36" s="1"/>
  <c r="V42" i="36"/>
  <c r="V56" i="36" s="1"/>
  <c r="Q45" i="32"/>
  <c r="Q59" i="32" s="1"/>
  <c r="Q42" i="32"/>
  <c r="Q56" i="32" s="1"/>
  <c r="Q46" i="32"/>
  <c r="Q60" i="32" s="1"/>
  <c r="Q48" i="32"/>
  <c r="Q62" i="32" s="1"/>
  <c r="Q49" i="32"/>
  <c r="Q63" i="32" s="1"/>
  <c r="Q44" i="32"/>
  <c r="Q58" i="32" s="1"/>
  <c r="Q47" i="32"/>
  <c r="Q61" i="32" s="1"/>
  <c r="Q50" i="32"/>
  <c r="Q64" i="32" s="1"/>
  <c r="Z42" i="37"/>
  <c r="Z56" i="37" s="1"/>
  <c r="Z44" i="37"/>
  <c r="Z58" i="37" s="1"/>
  <c r="Z45" i="37"/>
  <c r="Z59" i="37" s="1"/>
  <c r="Z50" i="37"/>
  <c r="Z64" i="37" s="1"/>
  <c r="Z46" i="37"/>
  <c r="Z60" i="37" s="1"/>
  <c r="Z47" i="37"/>
  <c r="Z61" i="37" s="1"/>
  <c r="Z48" i="37"/>
  <c r="Z62" i="37" s="1"/>
  <c r="Z49" i="37"/>
  <c r="Z63" i="37" s="1"/>
  <c r="AG42" i="32"/>
  <c r="AG56" i="32" s="1"/>
  <c r="AG50" i="32"/>
  <c r="AG64" i="32" s="1"/>
  <c r="AG46" i="32"/>
  <c r="AG60" i="32" s="1"/>
  <c r="AG49" i="32"/>
  <c r="AG63" i="32" s="1"/>
  <c r="AG45" i="32"/>
  <c r="AG59" i="32" s="1"/>
  <c r="AG44" i="32"/>
  <c r="AG58" i="32" s="1"/>
  <c r="AG47" i="32"/>
  <c r="AG61" i="32" s="1"/>
  <c r="AG48" i="32"/>
  <c r="AG62" i="32" s="1"/>
  <c r="AB46" i="32"/>
  <c r="AB60" i="32" s="1"/>
  <c r="AB50" i="32"/>
  <c r="AB64" i="32" s="1"/>
  <c r="AB42" i="32"/>
  <c r="AB56" i="32" s="1"/>
  <c r="AB47" i="32"/>
  <c r="AB61" i="32" s="1"/>
  <c r="AB44" i="32"/>
  <c r="AB58" i="32" s="1"/>
  <c r="AB49" i="32"/>
  <c r="AB63" i="32" s="1"/>
  <c r="AB48" i="32"/>
  <c r="AB62" i="32" s="1"/>
  <c r="AB45" i="32"/>
  <c r="AB59" i="32" s="1"/>
  <c r="Y47" i="28"/>
  <c r="Y61" i="28" s="1"/>
  <c r="Y48" i="28"/>
  <c r="Y62" i="28" s="1"/>
  <c r="Y49" i="28"/>
  <c r="Y63" i="28" s="1"/>
  <c r="Y50" i="28"/>
  <c r="Y64" i="28" s="1"/>
  <c r="Y44" i="28"/>
  <c r="Y58" i="28" s="1"/>
  <c r="Y45" i="28"/>
  <c r="Y59" i="28" s="1"/>
  <c r="Y42" i="28"/>
  <c r="Y56" i="28" s="1"/>
  <c r="Y46" i="28"/>
  <c r="Y60" i="28" s="1"/>
  <c r="AI44" i="32"/>
  <c r="AI58" i="32" s="1"/>
  <c r="AI47" i="32"/>
  <c r="AI61" i="32" s="1"/>
  <c r="AI48" i="32"/>
  <c r="AI62" i="32" s="1"/>
  <c r="AA45" i="37"/>
  <c r="AA59" i="37" s="1"/>
  <c r="AA50" i="37"/>
  <c r="AA64" i="37" s="1"/>
  <c r="AA42" i="37"/>
  <c r="AA56" i="37" s="1"/>
  <c r="AA46" i="37"/>
  <c r="AA60" i="37" s="1"/>
  <c r="AA49" i="37"/>
  <c r="AA63" i="37" s="1"/>
  <c r="AA48" i="37"/>
  <c r="AA62" i="37" s="1"/>
  <c r="AA47" i="37"/>
  <c r="AA61" i="37" s="1"/>
  <c r="AA44" i="37"/>
  <c r="AA58" i="37" s="1"/>
  <c r="AG42" i="34"/>
  <c r="AG56" i="34" s="1"/>
  <c r="AG48" i="34"/>
  <c r="AG62" i="34" s="1"/>
  <c r="AG49" i="34"/>
  <c r="AG63" i="34" s="1"/>
  <c r="AG50" i="34"/>
  <c r="AG64" i="34" s="1"/>
  <c r="AG45" i="34"/>
  <c r="AG59" i="34" s="1"/>
  <c r="AG46" i="34"/>
  <c r="AG60" i="34" s="1"/>
  <c r="AG47" i="34"/>
  <c r="AG61" i="34" s="1"/>
  <c r="AG44" i="34"/>
  <c r="AG58" i="34" s="1"/>
  <c r="J47" i="35"/>
  <c r="J61" i="35" s="1"/>
  <c r="J48" i="35"/>
  <c r="J62" i="35" s="1"/>
  <c r="J42" i="35"/>
  <c r="J56" i="35" s="1"/>
  <c r="J49" i="35"/>
  <c r="J63" i="35" s="1"/>
  <c r="J50" i="35"/>
  <c r="J64" i="35" s="1"/>
  <c r="J44" i="35"/>
  <c r="J58" i="35" s="1"/>
  <c r="J45" i="35"/>
  <c r="J59" i="35" s="1"/>
  <c r="J46" i="35"/>
  <c r="J60" i="35" s="1"/>
  <c r="AA49" i="28"/>
  <c r="AA63" i="28" s="1"/>
  <c r="AA45" i="28"/>
  <c r="AA59" i="28" s="1"/>
  <c r="AA50" i="28"/>
  <c r="AA64" i="28" s="1"/>
  <c r="AA48" i="28"/>
  <c r="AA62" i="28" s="1"/>
  <c r="AA42" i="28"/>
  <c r="AA56" i="28" s="1"/>
  <c r="AA46" i="28"/>
  <c r="AA60" i="28" s="1"/>
  <c r="AA44" i="28"/>
  <c r="AA58" i="28" s="1"/>
  <c r="AA47" i="28"/>
  <c r="AA61" i="28" s="1"/>
  <c r="AH46" i="36"/>
  <c r="AH60" i="36" s="1"/>
  <c r="AH50" i="36"/>
  <c r="AH64" i="36" s="1"/>
  <c r="AH44" i="36"/>
  <c r="AH58" i="36" s="1"/>
  <c r="AH45" i="36"/>
  <c r="AH59" i="36" s="1"/>
  <c r="AH48" i="36"/>
  <c r="AH62" i="36" s="1"/>
  <c r="AH49" i="36"/>
  <c r="AH63" i="36" s="1"/>
  <c r="AH42" i="36"/>
  <c r="AH56" i="36" s="1"/>
  <c r="AH47" i="36"/>
  <c r="AH61" i="36" s="1"/>
  <c r="AC42" i="36"/>
  <c r="AC56" i="36" s="1"/>
  <c r="AC46" i="36"/>
  <c r="AC60" i="36" s="1"/>
  <c r="AC48" i="36"/>
  <c r="AC62" i="36" s="1"/>
  <c r="AC45" i="36"/>
  <c r="AC59" i="36" s="1"/>
  <c r="AC47" i="36"/>
  <c r="AC61" i="36" s="1"/>
  <c r="AC50" i="36"/>
  <c r="AC64" i="36" s="1"/>
  <c r="AC44" i="36"/>
  <c r="AC58" i="36" s="1"/>
  <c r="AC49" i="36"/>
  <c r="AC63" i="36" s="1"/>
  <c r="AG42" i="16"/>
  <c r="AG56" i="16" s="1"/>
  <c r="AG44" i="16"/>
  <c r="AG58" i="16" s="1"/>
  <c r="AG45" i="16"/>
  <c r="AG59" i="16" s="1"/>
  <c r="AG47" i="16"/>
  <c r="AG61" i="16" s="1"/>
  <c r="AG46" i="16"/>
  <c r="AG60" i="16" s="1"/>
  <c r="AG48" i="16"/>
  <c r="AG62" i="16" s="1"/>
  <c r="AG49" i="16"/>
  <c r="AG63" i="16" s="1"/>
  <c r="AG50" i="16"/>
  <c r="AG64" i="16" s="1"/>
  <c r="W48" i="34"/>
  <c r="W62" i="34" s="1"/>
  <c r="W45" i="34"/>
  <c r="W59" i="34" s="1"/>
  <c r="W42" i="34"/>
  <c r="W56" i="34" s="1"/>
  <c r="W44" i="34"/>
  <c r="W58" i="34" s="1"/>
  <c r="W47" i="34"/>
  <c r="W61" i="34" s="1"/>
  <c r="W49" i="34"/>
  <c r="W63" i="34" s="1"/>
  <c r="W46" i="34"/>
  <c r="W60" i="34" s="1"/>
  <c r="W50" i="34"/>
  <c r="W64" i="34" s="1"/>
  <c r="U47" i="34"/>
  <c r="U61" i="34" s="1"/>
  <c r="U42" i="34"/>
  <c r="U56" i="34" s="1"/>
  <c r="U46" i="34"/>
  <c r="U60" i="34" s="1"/>
  <c r="U44" i="34"/>
  <c r="U58" i="34" s="1"/>
  <c r="U50" i="34"/>
  <c r="U64" i="34" s="1"/>
  <c r="U45" i="34"/>
  <c r="U59" i="34" s="1"/>
  <c r="U48" i="34"/>
  <c r="U62" i="34" s="1"/>
  <c r="U49" i="34"/>
  <c r="U63" i="34" s="1"/>
  <c r="N50" i="36"/>
  <c r="N64" i="36" s="1"/>
  <c r="N44" i="36"/>
  <c r="N58" i="36" s="1"/>
  <c r="N45" i="36"/>
  <c r="N59" i="36" s="1"/>
  <c r="N42" i="36"/>
  <c r="N56" i="36" s="1"/>
  <c r="N47" i="36"/>
  <c r="N61" i="36" s="1"/>
  <c r="N48" i="36"/>
  <c r="N62" i="36" s="1"/>
  <c r="N49" i="36"/>
  <c r="N63" i="36" s="1"/>
  <c r="N46" i="36"/>
  <c r="N60" i="36" s="1"/>
  <c r="AE49" i="29"/>
  <c r="AE63" i="29" s="1"/>
  <c r="AE48" i="29"/>
  <c r="AE62" i="29" s="1"/>
  <c r="AE45" i="29"/>
  <c r="AE59" i="29" s="1"/>
  <c r="AE47" i="29"/>
  <c r="AE61" i="29" s="1"/>
  <c r="AE42" i="29"/>
  <c r="AE56" i="29" s="1"/>
  <c r="AE46" i="29"/>
  <c r="AE60" i="29" s="1"/>
  <c r="AE50" i="29"/>
  <c r="AE64" i="29" s="1"/>
  <c r="AE44" i="29"/>
  <c r="AE58" i="29" s="1"/>
  <c r="S50" i="34"/>
  <c r="S64" i="34" s="1"/>
  <c r="S44" i="34"/>
  <c r="S58" i="34" s="1"/>
  <c r="S45" i="34"/>
  <c r="S59" i="34" s="1"/>
  <c r="S46" i="34"/>
  <c r="S60" i="34" s="1"/>
  <c r="S47" i="34"/>
  <c r="S61" i="34" s="1"/>
  <c r="S48" i="34"/>
  <c r="S62" i="34" s="1"/>
  <c r="S42" i="34"/>
  <c r="S56" i="34" s="1"/>
  <c r="S49" i="34"/>
  <c r="S63" i="34" s="1"/>
  <c r="U47" i="16"/>
  <c r="U61" i="16" s="1"/>
  <c r="U46" i="16"/>
  <c r="U60" i="16" s="1"/>
  <c r="U48" i="16"/>
  <c r="U62" i="16" s="1"/>
  <c r="U42" i="16"/>
  <c r="U56" i="16" s="1"/>
  <c r="U49" i="16"/>
  <c r="U63" i="16" s="1"/>
  <c r="U50" i="16"/>
  <c r="U64" i="16" s="1"/>
  <c r="U44" i="16"/>
  <c r="U58" i="16" s="1"/>
  <c r="U45" i="16"/>
  <c r="U59" i="16" s="1"/>
  <c r="AC50" i="37"/>
  <c r="AC64" i="37" s="1"/>
  <c r="AC42" i="37"/>
  <c r="AC56" i="37" s="1"/>
  <c r="AC44" i="37"/>
  <c r="AC58" i="37" s="1"/>
  <c r="AC49" i="37"/>
  <c r="AC63" i="37" s="1"/>
  <c r="AC45" i="37"/>
  <c r="AC59" i="37" s="1"/>
  <c r="AC48" i="37"/>
  <c r="AC62" i="37" s="1"/>
  <c r="AC46" i="37"/>
  <c r="AC60" i="37" s="1"/>
  <c r="AC47" i="37"/>
  <c r="AC61" i="37" s="1"/>
  <c r="X48" i="34"/>
  <c r="X62" i="34" s="1"/>
  <c r="X49" i="34"/>
  <c r="X63" i="34" s="1"/>
  <c r="X42" i="34"/>
  <c r="X56" i="34" s="1"/>
  <c r="X46" i="34"/>
  <c r="X60" i="34" s="1"/>
  <c r="X44" i="34"/>
  <c r="X58" i="34" s="1"/>
  <c r="X47" i="34"/>
  <c r="X61" i="34" s="1"/>
  <c r="X45" i="34"/>
  <c r="X59" i="34" s="1"/>
  <c r="X50" i="34"/>
  <c r="X64" i="34" s="1"/>
  <c r="P45" i="30"/>
  <c r="P59" i="30" s="1"/>
  <c r="P46" i="30"/>
  <c r="P60" i="30" s="1"/>
  <c r="P47" i="30"/>
  <c r="P61" i="30" s="1"/>
  <c r="P42" i="30"/>
  <c r="P56" i="30" s="1"/>
  <c r="P48" i="30"/>
  <c r="P62" i="30" s="1"/>
  <c r="P49" i="30"/>
  <c r="P63" i="30" s="1"/>
  <c r="P44" i="30"/>
  <c r="P58" i="30" s="1"/>
  <c r="P50" i="30"/>
  <c r="P64" i="30" s="1"/>
  <c r="T44" i="16"/>
  <c r="T58" i="16" s="1"/>
  <c r="T42" i="16"/>
  <c r="T56" i="16" s="1"/>
  <c r="T50" i="16"/>
  <c r="T64" i="16" s="1"/>
  <c r="T45" i="16"/>
  <c r="T59" i="16" s="1"/>
  <c r="T49" i="16"/>
  <c r="T63" i="16" s="1"/>
  <c r="T47" i="16"/>
  <c r="T61" i="16" s="1"/>
  <c r="T48" i="16"/>
  <c r="T62" i="16" s="1"/>
  <c r="T46" i="16"/>
  <c r="T60" i="16" s="1"/>
  <c r="AF42" i="37"/>
  <c r="AF56" i="37" s="1"/>
  <c r="AF47" i="37"/>
  <c r="AF61" i="37" s="1"/>
  <c r="AF49" i="37"/>
  <c r="AF63" i="37" s="1"/>
  <c r="AF50" i="37"/>
  <c r="AF64" i="37" s="1"/>
  <c r="AF44" i="37"/>
  <c r="AF58" i="37" s="1"/>
  <c r="AF45" i="37"/>
  <c r="AF59" i="37" s="1"/>
  <c r="AF46" i="37"/>
  <c r="AF60" i="37" s="1"/>
  <c r="AF48" i="37"/>
  <c r="AF62" i="37" s="1"/>
  <c r="AF47" i="16"/>
  <c r="AF61" i="16" s="1"/>
  <c r="AF48" i="16"/>
  <c r="AF62" i="16" s="1"/>
  <c r="AF50" i="16"/>
  <c r="AF64" i="16" s="1"/>
  <c r="AF42" i="16"/>
  <c r="AF56" i="16" s="1"/>
  <c r="AF49" i="16"/>
  <c r="AF63" i="16" s="1"/>
  <c r="AF44" i="16"/>
  <c r="AF58" i="16" s="1"/>
  <c r="AF46" i="16"/>
  <c r="AF60" i="16" s="1"/>
  <c r="AF45" i="16"/>
  <c r="AF59" i="16" s="1"/>
  <c r="V48" i="16"/>
  <c r="V62" i="16" s="1"/>
  <c r="V49" i="16"/>
  <c r="V63" i="16" s="1"/>
  <c r="V50" i="16"/>
  <c r="V64" i="16" s="1"/>
  <c r="V44" i="16"/>
  <c r="V58" i="16" s="1"/>
  <c r="V45" i="16"/>
  <c r="V59" i="16" s="1"/>
  <c r="V47" i="16"/>
  <c r="V61" i="16" s="1"/>
  <c r="V46" i="16"/>
  <c r="V60" i="16" s="1"/>
  <c r="V42" i="16"/>
  <c r="V56" i="16" s="1"/>
  <c r="AG47" i="35"/>
  <c r="AG61" i="35" s="1"/>
  <c r="AG48" i="35"/>
  <c r="AG62" i="35" s="1"/>
  <c r="AG49" i="35"/>
  <c r="AG63" i="35" s="1"/>
  <c r="AG44" i="35"/>
  <c r="AG58" i="35" s="1"/>
  <c r="AG45" i="35"/>
  <c r="AG59" i="35" s="1"/>
  <c r="AG42" i="35"/>
  <c r="AG56" i="35" s="1"/>
  <c r="AG46" i="35"/>
  <c r="AG60" i="35" s="1"/>
  <c r="AG50" i="35"/>
  <c r="AG64" i="35" s="1"/>
  <c r="AD44" i="16"/>
  <c r="AD58" i="16" s="1"/>
  <c r="AD49" i="16"/>
  <c r="AD63" i="16" s="1"/>
  <c r="AD50" i="16"/>
  <c r="AD64" i="16" s="1"/>
  <c r="AD42" i="16"/>
  <c r="AD56" i="16" s="1"/>
  <c r="AD46" i="16"/>
  <c r="AD60" i="16" s="1"/>
  <c r="AD48" i="16"/>
  <c r="AD62" i="16" s="1"/>
  <c r="AD47" i="16"/>
  <c r="AD61" i="16" s="1"/>
  <c r="AD45" i="16"/>
  <c r="AD59" i="16" s="1"/>
  <c r="AC44" i="30"/>
  <c r="AC58" i="30" s="1"/>
  <c r="AC45" i="30"/>
  <c r="AC59" i="30" s="1"/>
  <c r="AC42" i="30"/>
  <c r="AC56" i="30" s="1"/>
  <c r="AC46" i="30"/>
  <c r="AC60" i="30" s="1"/>
  <c r="AC47" i="30"/>
  <c r="AC61" i="30" s="1"/>
  <c r="AC49" i="30"/>
  <c r="AC63" i="30" s="1"/>
  <c r="AC48" i="30"/>
  <c r="AC62" i="30" s="1"/>
  <c r="AC50" i="30"/>
  <c r="AC64" i="30" s="1"/>
  <c r="S45" i="30"/>
  <c r="S59" i="30" s="1"/>
  <c r="S42" i="30"/>
  <c r="S56" i="30" s="1"/>
  <c r="S50" i="30"/>
  <c r="S64" i="30" s="1"/>
  <c r="S44" i="28"/>
  <c r="S58" i="28" s="1"/>
  <c r="S46" i="28"/>
  <c r="S60" i="28" s="1"/>
  <c r="S48" i="28"/>
  <c r="S62" i="28" s="1"/>
  <c r="S50" i="28"/>
  <c r="S64" i="28" s="1"/>
  <c r="S42" i="28"/>
  <c r="S56" i="28" s="1"/>
  <c r="S45" i="28"/>
  <c r="S59" i="28" s="1"/>
  <c r="S49" i="28"/>
  <c r="S63" i="28" s="1"/>
  <c r="S47" i="28"/>
  <c r="S61" i="28" s="1"/>
  <c r="V44" i="28"/>
  <c r="V58" i="28" s="1"/>
  <c r="V46" i="28"/>
  <c r="V60" i="28" s="1"/>
  <c r="V47" i="28"/>
  <c r="V61" i="28" s="1"/>
  <c r="V49" i="28"/>
  <c r="V63" i="28" s="1"/>
  <c r="V50" i="28"/>
  <c r="V64" i="28" s="1"/>
  <c r="V45" i="28"/>
  <c r="V59" i="28" s="1"/>
  <c r="V48" i="28"/>
  <c r="V62" i="28" s="1"/>
  <c r="V42" i="28"/>
  <c r="V56" i="28" s="1"/>
  <c r="K42" i="35"/>
  <c r="K56" i="35" s="1"/>
  <c r="K48" i="35"/>
  <c r="K62" i="35" s="1"/>
  <c r="K49" i="35"/>
  <c r="K63" i="35" s="1"/>
  <c r="K46" i="35"/>
  <c r="K60" i="35" s="1"/>
  <c r="K44" i="35"/>
  <c r="K58" i="35" s="1"/>
  <c r="K47" i="35"/>
  <c r="K61" i="35" s="1"/>
  <c r="K45" i="35"/>
  <c r="K59" i="35" s="1"/>
  <c r="K50" i="35"/>
  <c r="K64" i="35" s="1"/>
  <c r="AC49" i="34"/>
  <c r="AC63" i="34" s="1"/>
  <c r="AC50" i="34"/>
  <c r="AC64" i="34" s="1"/>
  <c r="AC48" i="34"/>
  <c r="AC62" i="34" s="1"/>
  <c r="AC42" i="34"/>
  <c r="AC56" i="34" s="1"/>
  <c r="AC44" i="34"/>
  <c r="AC58" i="34" s="1"/>
  <c r="AC47" i="34"/>
  <c r="AC61" i="34" s="1"/>
  <c r="AC45" i="34"/>
  <c r="AC59" i="34" s="1"/>
  <c r="AC46" i="34"/>
  <c r="AC60" i="34" s="1"/>
  <c r="AH49" i="34"/>
  <c r="AH63" i="34" s="1"/>
  <c r="AH50" i="34"/>
  <c r="AH64" i="34" s="1"/>
  <c r="AH46" i="34"/>
  <c r="AH60" i="34" s="1"/>
  <c r="AH47" i="34"/>
  <c r="AH61" i="34" s="1"/>
  <c r="AH48" i="34"/>
  <c r="AH62" i="34" s="1"/>
  <c r="AH44" i="34"/>
  <c r="AH58" i="34" s="1"/>
  <c r="AH45" i="34"/>
  <c r="AH59" i="34" s="1"/>
  <c r="AH42" i="34"/>
  <c r="AH56" i="34" s="1"/>
  <c r="R46" i="34"/>
  <c r="R60" i="34" s="1"/>
  <c r="R47" i="34"/>
  <c r="R61" i="34" s="1"/>
  <c r="R44" i="34"/>
  <c r="R58" i="34" s="1"/>
  <c r="R49" i="34"/>
  <c r="R63" i="34" s="1"/>
  <c r="R42" i="34"/>
  <c r="R56" i="34" s="1"/>
  <c r="R48" i="34"/>
  <c r="R62" i="34" s="1"/>
  <c r="R45" i="34"/>
  <c r="R59" i="34" s="1"/>
  <c r="R50" i="34"/>
  <c r="R64" i="34" s="1"/>
  <c r="Z50" i="32"/>
  <c r="Z64" i="32" s="1"/>
  <c r="Z42" i="32"/>
  <c r="Z56" i="32" s="1"/>
  <c r="Z47" i="32"/>
  <c r="Z61" i="32" s="1"/>
  <c r="Z46" i="32"/>
  <c r="Z60" i="32" s="1"/>
  <c r="Z44" i="32"/>
  <c r="Z58" i="32" s="1"/>
  <c r="Z48" i="32"/>
  <c r="Z62" i="32" s="1"/>
  <c r="Z45" i="32"/>
  <c r="Z59" i="32" s="1"/>
  <c r="Z49" i="32"/>
  <c r="Z63" i="32" s="1"/>
  <c r="AE45" i="36"/>
  <c r="AE59" i="36" s="1"/>
  <c r="AE50" i="36"/>
  <c r="AE64" i="36" s="1"/>
  <c r="AE42" i="36"/>
  <c r="AE56" i="36" s="1"/>
  <c r="AE46" i="36"/>
  <c r="AE60" i="36" s="1"/>
  <c r="AE49" i="36"/>
  <c r="AE63" i="36" s="1"/>
  <c r="AE48" i="36"/>
  <c r="AE62" i="36" s="1"/>
  <c r="AE44" i="36"/>
  <c r="AE58" i="36" s="1"/>
  <c r="AE47" i="36"/>
  <c r="AE61" i="36" s="1"/>
  <c r="R46" i="36"/>
  <c r="R60" i="36" s="1"/>
  <c r="R44" i="36"/>
  <c r="R58" i="36" s="1"/>
  <c r="R50" i="36"/>
  <c r="R64" i="36" s="1"/>
  <c r="R49" i="36"/>
  <c r="R63" i="36" s="1"/>
  <c r="R47" i="36"/>
  <c r="R61" i="36" s="1"/>
  <c r="R48" i="36"/>
  <c r="R62" i="36" s="1"/>
  <c r="R45" i="36"/>
  <c r="R59" i="36" s="1"/>
  <c r="R42" i="36"/>
  <c r="R56" i="36" s="1"/>
  <c r="X46" i="32"/>
  <c r="X60" i="32" s="1"/>
  <c r="X49" i="32"/>
  <c r="X63" i="32" s="1"/>
  <c r="X44" i="32"/>
  <c r="X58" i="32" s="1"/>
  <c r="X50" i="32"/>
  <c r="X64" i="32" s="1"/>
  <c r="X42" i="32"/>
  <c r="X56" i="32" s="1"/>
  <c r="X45" i="32"/>
  <c r="X59" i="32" s="1"/>
  <c r="X47" i="32"/>
  <c r="X61" i="32" s="1"/>
  <c r="X48" i="32"/>
  <c r="X62" i="32" s="1"/>
  <c r="R42" i="37"/>
  <c r="R56" i="37" s="1"/>
  <c r="R47" i="37"/>
  <c r="R61" i="37" s="1"/>
  <c r="R49" i="37"/>
  <c r="R63" i="37" s="1"/>
  <c r="R50" i="37"/>
  <c r="R64" i="37" s="1"/>
  <c r="R44" i="37"/>
  <c r="R58" i="37" s="1"/>
  <c r="R45" i="37"/>
  <c r="R59" i="37" s="1"/>
  <c r="R46" i="37"/>
  <c r="R60" i="37" s="1"/>
  <c r="R48" i="37"/>
  <c r="R62" i="37" s="1"/>
  <c r="O45" i="37"/>
  <c r="O59" i="37" s="1"/>
  <c r="O50" i="37"/>
  <c r="O64" i="37" s="1"/>
  <c r="O42" i="37"/>
  <c r="O56" i="37" s="1"/>
  <c r="O48" i="37"/>
  <c r="O62" i="37" s="1"/>
  <c r="O44" i="37"/>
  <c r="O58" i="37" s="1"/>
  <c r="O47" i="37"/>
  <c r="O61" i="37" s="1"/>
  <c r="O49" i="37"/>
  <c r="O63" i="37" s="1"/>
  <c r="O46" i="37"/>
  <c r="O60" i="37" s="1"/>
  <c r="Q42" i="35"/>
  <c r="Q56" i="35" s="1"/>
  <c r="Q48" i="35"/>
  <c r="Q62" i="35" s="1"/>
  <c r="Q49" i="35"/>
  <c r="Q63" i="35" s="1"/>
  <c r="Q50" i="35"/>
  <c r="Q64" i="35" s="1"/>
  <c r="Q44" i="35"/>
  <c r="Q58" i="35" s="1"/>
  <c r="Q45" i="35"/>
  <c r="Q59" i="35" s="1"/>
  <c r="Q46" i="35"/>
  <c r="Q60" i="35" s="1"/>
  <c r="Q47" i="35"/>
  <c r="Q61" i="35" s="1"/>
  <c r="AF47" i="30"/>
  <c r="AF61" i="30" s="1"/>
  <c r="AF49" i="30"/>
  <c r="AF63" i="30" s="1"/>
  <c r="AF45" i="30"/>
  <c r="AF59" i="30" s="1"/>
  <c r="AF48" i="30"/>
  <c r="AF62" i="30" s="1"/>
  <c r="AF46" i="30"/>
  <c r="AF60" i="30" s="1"/>
  <c r="AF42" i="30"/>
  <c r="AF56" i="30" s="1"/>
  <c r="AF44" i="30"/>
  <c r="AF58" i="30" s="1"/>
  <c r="AF50" i="30"/>
  <c r="AF64" i="30" s="1"/>
  <c r="M48" i="34"/>
  <c r="M62" i="34" s="1"/>
  <c r="M49" i="34"/>
  <c r="M63" i="34" s="1"/>
  <c r="M50" i="34"/>
  <c r="M64" i="34" s="1"/>
  <c r="M46" i="34"/>
  <c r="M60" i="34" s="1"/>
  <c r="M47" i="34"/>
  <c r="M61" i="34" s="1"/>
  <c r="M42" i="34"/>
  <c r="M56" i="34" s="1"/>
  <c r="M44" i="34"/>
  <c r="M58" i="34" s="1"/>
  <c r="M45" i="34"/>
  <c r="M59" i="34" s="1"/>
  <c r="AE44" i="35"/>
  <c r="AE58" i="35" s="1"/>
  <c r="AE45" i="35"/>
  <c r="AE59" i="35" s="1"/>
  <c r="AE46" i="35"/>
  <c r="AE60" i="35" s="1"/>
  <c r="AE47" i="35"/>
  <c r="AE61" i="35" s="1"/>
  <c r="AE48" i="35"/>
  <c r="AE62" i="35" s="1"/>
  <c r="AE50" i="35"/>
  <c r="AE64" i="35" s="1"/>
  <c r="AE42" i="35"/>
  <c r="AE56" i="35" s="1"/>
  <c r="AE49" i="35"/>
  <c r="AE63" i="35" s="1"/>
  <c r="AG42" i="37"/>
  <c r="AG56" i="37" s="1"/>
  <c r="AG48" i="37"/>
  <c r="AG62" i="37" s="1"/>
  <c r="AG50" i="37"/>
  <c r="AG64" i="37" s="1"/>
  <c r="AG45" i="37"/>
  <c r="AG59" i="37" s="1"/>
  <c r="AG46" i="37"/>
  <c r="AG60" i="37" s="1"/>
  <c r="AG49" i="37"/>
  <c r="AG63" i="37" s="1"/>
  <c r="AG44" i="37"/>
  <c r="AG58" i="37" s="1"/>
  <c r="AG47" i="37"/>
  <c r="AG61" i="37" s="1"/>
  <c r="AA46" i="36"/>
  <c r="AA60" i="36" s="1"/>
  <c r="AA48" i="36"/>
  <c r="AA62" i="36" s="1"/>
  <c r="AA42" i="36"/>
  <c r="AA56" i="36" s="1"/>
  <c r="AA49" i="36"/>
  <c r="AA63" i="36" s="1"/>
  <c r="AA45" i="36"/>
  <c r="AA59" i="36" s="1"/>
  <c r="AA47" i="36"/>
  <c r="AA61" i="36" s="1"/>
  <c r="AA44" i="36"/>
  <c r="AA58" i="36" s="1"/>
  <c r="AA50" i="36"/>
  <c r="AA64" i="36" s="1"/>
  <c r="AB44" i="36"/>
  <c r="AB58" i="36" s="1"/>
  <c r="AB42" i="36"/>
  <c r="AB56" i="36" s="1"/>
  <c r="AB46" i="36"/>
  <c r="AB60" i="36" s="1"/>
  <c r="AB47" i="36"/>
  <c r="AB61" i="36" s="1"/>
  <c r="AB49" i="36"/>
  <c r="AB63" i="36" s="1"/>
  <c r="AB50" i="36"/>
  <c r="AB64" i="36" s="1"/>
  <c r="AB45" i="36"/>
  <c r="AB59" i="36" s="1"/>
  <c r="AB48" i="36"/>
  <c r="AB62" i="36" s="1"/>
  <c r="AD47" i="37"/>
  <c r="AD61" i="37" s="1"/>
  <c r="AD48" i="37"/>
  <c r="AD62" i="37" s="1"/>
  <c r="AD46" i="37"/>
  <c r="AD60" i="37" s="1"/>
  <c r="AD45" i="37"/>
  <c r="AD59" i="37" s="1"/>
  <c r="AD49" i="37"/>
  <c r="AD63" i="37" s="1"/>
  <c r="AD50" i="37"/>
  <c r="AD64" i="37" s="1"/>
  <c r="AD42" i="37"/>
  <c r="AD56" i="37" s="1"/>
  <c r="AD44" i="37"/>
  <c r="AD58" i="37" s="1"/>
  <c r="W46" i="16"/>
  <c r="W60" i="16" s="1"/>
  <c r="W48" i="16"/>
  <c r="W62" i="16" s="1"/>
  <c r="W49" i="16"/>
  <c r="W63" i="16" s="1"/>
  <c r="W42" i="16"/>
  <c r="W56" i="16" s="1"/>
  <c r="W47" i="16"/>
  <c r="W61" i="16" s="1"/>
  <c r="W44" i="16"/>
  <c r="W58" i="16" s="1"/>
  <c r="W50" i="16"/>
  <c r="W64" i="16" s="1"/>
  <c r="W45" i="16"/>
  <c r="W59" i="16" s="1"/>
  <c r="AA48" i="32"/>
  <c r="AA62" i="32" s="1"/>
  <c r="AA47" i="32"/>
  <c r="AA61" i="32" s="1"/>
  <c r="AA46" i="32"/>
  <c r="AA60" i="32" s="1"/>
  <c r="AA42" i="32"/>
  <c r="AA56" i="32" s="1"/>
  <c r="AA45" i="32"/>
  <c r="AA59" i="32" s="1"/>
  <c r="AA50" i="32"/>
  <c r="AA64" i="32" s="1"/>
  <c r="AA49" i="32"/>
  <c r="AA63" i="32" s="1"/>
  <c r="AA44" i="32"/>
  <c r="AA58" i="32" s="1"/>
  <c r="Y49" i="37"/>
  <c r="Y63" i="37" s="1"/>
  <c r="Y42" i="37"/>
  <c r="Y56" i="37" s="1"/>
  <c r="Y44" i="37"/>
  <c r="Y58" i="37" s="1"/>
  <c r="Y46" i="37"/>
  <c r="Y60" i="37" s="1"/>
  <c r="Y47" i="37"/>
  <c r="Y61" i="37" s="1"/>
  <c r="Y45" i="37"/>
  <c r="Y59" i="37" s="1"/>
  <c r="Y48" i="37"/>
  <c r="Y62" i="37" s="1"/>
  <c r="Y50" i="37"/>
  <c r="Y64" i="37" s="1"/>
  <c r="S42" i="37"/>
  <c r="S56" i="37" s="1"/>
  <c r="S48" i="37"/>
  <c r="S62" i="37" s="1"/>
  <c r="S50" i="37"/>
  <c r="S64" i="37" s="1"/>
  <c r="S45" i="37"/>
  <c r="S59" i="37" s="1"/>
  <c r="S46" i="37"/>
  <c r="S60" i="37" s="1"/>
  <c r="S44" i="37"/>
  <c r="S58" i="37" s="1"/>
  <c r="S47" i="37"/>
  <c r="S61" i="37" s="1"/>
  <c r="S49" i="37"/>
  <c r="S63" i="37" s="1"/>
  <c r="Q44" i="36"/>
  <c r="Q58" i="36" s="1"/>
  <c r="Q48" i="36"/>
  <c r="Q62" i="36" s="1"/>
  <c r="Q50" i="36"/>
  <c r="Q64" i="36" s="1"/>
  <c r="Q42" i="36"/>
  <c r="Q56" i="36" s="1"/>
  <c r="Q45" i="36"/>
  <c r="Q59" i="36" s="1"/>
  <c r="Q47" i="36"/>
  <c r="Q61" i="36" s="1"/>
  <c r="Q46" i="36"/>
  <c r="Q60" i="36" s="1"/>
  <c r="Q49" i="36"/>
  <c r="Q63" i="36" s="1"/>
  <c r="B9" i="27"/>
  <c r="B8" i="27"/>
  <c r="B7" i="27"/>
  <c r="AI46" i="33"/>
  <c r="AI60" i="33" s="1"/>
  <c r="AI45" i="33"/>
  <c r="AI59" i="33" s="1"/>
  <c r="AI50" i="33"/>
  <c r="AI64" i="33" s="1"/>
  <c r="AI42" i="33"/>
  <c r="AI56" i="33" s="1"/>
  <c r="AI47" i="33"/>
  <c r="AI61" i="33" s="1"/>
  <c r="AI48" i="33"/>
  <c r="AI62" i="33" s="1"/>
  <c r="AI44" i="33"/>
  <c r="AI58" i="33" s="1"/>
  <c r="AI49" i="33"/>
  <c r="AI63" i="33" s="1"/>
  <c r="M50" i="37"/>
  <c r="M64" i="37" s="1"/>
  <c r="M42" i="37"/>
  <c r="M56" i="37" s="1"/>
  <c r="M46" i="37"/>
  <c r="M60" i="37" s="1"/>
  <c r="M47" i="37"/>
  <c r="M61" i="37" s="1"/>
  <c r="M48" i="37"/>
  <c r="M62" i="37" s="1"/>
  <c r="M44" i="37"/>
  <c r="M58" i="37" s="1"/>
  <c r="M49" i="37"/>
  <c r="M63" i="37" s="1"/>
  <c r="M45" i="37"/>
  <c r="M59" i="37" s="1"/>
  <c r="H49" i="30"/>
  <c r="H63" i="30" s="1"/>
  <c r="H50" i="30"/>
  <c r="H64" i="30" s="1"/>
  <c r="H44" i="30"/>
  <c r="H58" i="30" s="1"/>
  <c r="H45" i="30"/>
  <c r="H59" i="30" s="1"/>
  <c r="H46" i="30"/>
  <c r="H60" i="30" s="1"/>
  <c r="H47" i="30"/>
  <c r="H61" i="30" s="1"/>
  <c r="H48" i="30"/>
  <c r="H62" i="30" s="1"/>
  <c r="U42" i="29"/>
  <c r="U56" i="29" s="1"/>
  <c r="U44" i="29"/>
  <c r="U58" i="29" s="1"/>
  <c r="U46" i="29"/>
  <c r="U60" i="29" s="1"/>
  <c r="U48" i="29"/>
  <c r="U62" i="29" s="1"/>
  <c r="U47" i="29"/>
  <c r="U61" i="29" s="1"/>
  <c r="U49" i="29"/>
  <c r="U63" i="29" s="1"/>
  <c r="U50" i="29"/>
  <c r="U64" i="29" s="1"/>
  <c r="U45" i="29"/>
  <c r="U59" i="29" s="1"/>
  <c r="AI42" i="38"/>
  <c r="AI56" i="38" s="1"/>
  <c r="AI50" i="38"/>
  <c r="AI64" i="38" s="1"/>
  <c r="AI46" i="38"/>
  <c r="AI60" i="38" s="1"/>
  <c r="AI44" i="38"/>
  <c r="AI58" i="38" s="1"/>
  <c r="AI47" i="38"/>
  <c r="AI61" i="38" s="1"/>
  <c r="AI45" i="38"/>
  <c r="AI59" i="38" s="1"/>
  <c r="AI48" i="38"/>
  <c r="AI62" i="38" s="1"/>
  <c r="AI49" i="38"/>
  <c r="AI63" i="38" s="1"/>
  <c r="H50" i="37"/>
  <c r="H64" i="37" s="1"/>
  <c r="H46" i="37"/>
  <c r="H60" i="37" s="1"/>
  <c r="H47" i="37"/>
  <c r="H61" i="37" s="1"/>
  <c r="H48" i="37"/>
  <c r="H62" i="37" s="1"/>
  <c r="H49" i="37"/>
  <c r="H63" i="37" s="1"/>
  <c r="H44" i="37"/>
  <c r="H58" i="37" s="1"/>
  <c r="H45" i="37"/>
  <c r="H59" i="37" s="1"/>
  <c r="J46" i="33"/>
  <c r="J60" i="33" s="1"/>
  <c r="J48" i="33"/>
  <c r="J62" i="33" s="1"/>
  <c r="J42" i="33"/>
  <c r="J56" i="33" s="1"/>
  <c r="J44" i="33"/>
  <c r="J58" i="33" s="1"/>
  <c r="J50" i="33"/>
  <c r="J64" i="33" s="1"/>
  <c r="J49" i="33"/>
  <c r="J63" i="33" s="1"/>
  <c r="J45" i="33"/>
  <c r="J59" i="33" s="1"/>
  <c r="J47" i="33"/>
  <c r="J61" i="33" s="1"/>
  <c r="M44" i="30"/>
  <c r="M58" i="30" s="1"/>
  <c r="M46" i="30"/>
  <c r="M60" i="30" s="1"/>
  <c r="M45" i="30"/>
  <c r="M59" i="30" s="1"/>
  <c r="M47" i="30"/>
  <c r="M61" i="30" s="1"/>
  <c r="M48" i="30"/>
  <c r="M62" i="30" s="1"/>
  <c r="M49" i="30"/>
  <c r="M63" i="30" s="1"/>
  <c r="M50" i="30"/>
  <c r="M64" i="30" s="1"/>
  <c r="Y42" i="38"/>
  <c r="Y56" i="38" s="1"/>
  <c r="Y46" i="38"/>
  <c r="Y60" i="38" s="1"/>
  <c r="Y44" i="38"/>
  <c r="Y58" i="38" s="1"/>
  <c r="Y47" i="38"/>
  <c r="Y61" i="38" s="1"/>
  <c r="Y45" i="38"/>
  <c r="Y59" i="38" s="1"/>
  <c r="Y48" i="38"/>
  <c r="Y62" i="38" s="1"/>
  <c r="Y49" i="38"/>
  <c r="Y63" i="38" s="1"/>
  <c r="Y50" i="38"/>
  <c r="Y64" i="38" s="1"/>
  <c r="I50" i="29"/>
  <c r="I64" i="29" s="1"/>
  <c r="I46" i="29"/>
  <c r="I60" i="29" s="1"/>
  <c r="I44" i="29"/>
  <c r="I58" i="29" s="1"/>
  <c r="I45" i="29"/>
  <c r="I59" i="29" s="1"/>
  <c r="I47" i="29"/>
  <c r="I61" i="29" s="1"/>
  <c r="I48" i="29"/>
  <c r="I62" i="29" s="1"/>
  <c r="I49" i="29"/>
  <c r="I63" i="29" s="1"/>
  <c r="I42" i="29"/>
  <c r="I56" i="29" s="1"/>
  <c r="AF47" i="29"/>
  <c r="AF61" i="29" s="1"/>
  <c r="AF48" i="29"/>
  <c r="AF62" i="29" s="1"/>
  <c r="AF49" i="29"/>
  <c r="AF63" i="29" s="1"/>
  <c r="AF50" i="29"/>
  <c r="AF64" i="29" s="1"/>
  <c r="AF42" i="29"/>
  <c r="AF56" i="29" s="1"/>
  <c r="AF45" i="29"/>
  <c r="AF59" i="29" s="1"/>
  <c r="AF46" i="29"/>
  <c r="AF60" i="29" s="1"/>
  <c r="AF44" i="29"/>
  <c r="AF58" i="29" s="1"/>
  <c r="M42" i="29"/>
  <c r="M56" i="29" s="1"/>
  <c r="M48" i="29"/>
  <c r="M62" i="29" s="1"/>
  <c r="M47" i="29"/>
  <c r="M61" i="29" s="1"/>
  <c r="M44" i="29"/>
  <c r="M58" i="29" s="1"/>
  <c r="M46" i="29"/>
  <c r="M60" i="29" s="1"/>
  <c r="M49" i="29"/>
  <c r="M63" i="29" s="1"/>
  <c r="M45" i="29"/>
  <c r="M59" i="29" s="1"/>
  <c r="M50" i="29"/>
  <c r="M64" i="29" s="1"/>
  <c r="AC46" i="38"/>
  <c r="AC60" i="38" s="1"/>
  <c r="AC50" i="38"/>
  <c r="AC64" i="38" s="1"/>
  <c r="AC42" i="38"/>
  <c r="AC56" i="38" s="1"/>
  <c r="AC47" i="38"/>
  <c r="AC61" i="38" s="1"/>
  <c r="AC44" i="38"/>
  <c r="AC58" i="38" s="1"/>
  <c r="AC48" i="38"/>
  <c r="AC62" i="38" s="1"/>
  <c r="AC45" i="38"/>
  <c r="AC59" i="38" s="1"/>
  <c r="AC49" i="38"/>
  <c r="AC63" i="38" s="1"/>
  <c r="W42" i="33"/>
  <c r="W56" i="33" s="1"/>
  <c r="W44" i="33"/>
  <c r="W58" i="33" s="1"/>
  <c r="W45" i="33"/>
  <c r="W59" i="33" s="1"/>
  <c r="W46" i="33"/>
  <c r="W60" i="33" s="1"/>
  <c r="W47" i="33"/>
  <c r="W61" i="33" s="1"/>
  <c r="W48" i="33"/>
  <c r="W62" i="33" s="1"/>
  <c r="W49" i="33"/>
  <c r="W63" i="33" s="1"/>
  <c r="W50" i="33"/>
  <c r="W64" i="33" s="1"/>
  <c r="O47" i="38"/>
  <c r="O61" i="38" s="1"/>
  <c r="O45" i="38"/>
  <c r="O59" i="38" s="1"/>
  <c r="O46" i="38"/>
  <c r="O60" i="38" s="1"/>
  <c r="O49" i="38"/>
  <c r="O63" i="38" s="1"/>
  <c r="O50" i="38"/>
  <c r="O64" i="38" s="1"/>
  <c r="O42" i="38"/>
  <c r="O56" i="38" s="1"/>
  <c r="O44" i="38"/>
  <c r="O58" i="38" s="1"/>
  <c r="O48" i="38"/>
  <c r="O62" i="38" s="1"/>
  <c r="AC42" i="33"/>
  <c r="AC56" i="33" s="1"/>
  <c r="AC44" i="33"/>
  <c r="AC58" i="33" s="1"/>
  <c r="AC45" i="33"/>
  <c r="AC59" i="33" s="1"/>
  <c r="AC46" i="33"/>
  <c r="AC60" i="33" s="1"/>
  <c r="AC47" i="33"/>
  <c r="AC61" i="33" s="1"/>
  <c r="AC48" i="33"/>
  <c r="AC62" i="33" s="1"/>
  <c r="AC50" i="33"/>
  <c r="AC64" i="33" s="1"/>
  <c r="AC49" i="33"/>
  <c r="AC63" i="33" s="1"/>
  <c r="V48" i="38"/>
  <c r="V62" i="38" s="1"/>
  <c r="V46" i="38"/>
  <c r="V60" i="38" s="1"/>
  <c r="V47" i="38"/>
  <c r="V61" i="38" s="1"/>
  <c r="V50" i="38"/>
  <c r="V64" i="38" s="1"/>
  <c r="V42" i="38"/>
  <c r="V56" i="38" s="1"/>
  <c r="V44" i="38"/>
  <c r="V58" i="38" s="1"/>
  <c r="V45" i="38"/>
  <c r="V59" i="38" s="1"/>
  <c r="V49" i="38"/>
  <c r="V63" i="38" s="1"/>
  <c r="T42" i="33"/>
  <c r="T56" i="33" s="1"/>
  <c r="T50" i="33"/>
  <c r="T64" i="33" s="1"/>
  <c r="T46" i="33"/>
  <c r="T60" i="33" s="1"/>
  <c r="T47" i="33"/>
  <c r="T61" i="33" s="1"/>
  <c r="T48" i="33"/>
  <c r="T62" i="33" s="1"/>
  <c r="T44" i="33"/>
  <c r="T58" i="33" s="1"/>
  <c r="T49" i="33"/>
  <c r="T63" i="33" s="1"/>
  <c r="T45" i="33"/>
  <c r="T59" i="33" s="1"/>
  <c r="AF50" i="33"/>
  <c r="AF64" i="33" s="1"/>
  <c r="AF46" i="33"/>
  <c r="AF60" i="33" s="1"/>
  <c r="AF48" i="33"/>
  <c r="AF62" i="33" s="1"/>
  <c r="AF49" i="33"/>
  <c r="AF63" i="33" s="1"/>
  <c r="AF44" i="33"/>
  <c r="AF58" i="33" s="1"/>
  <c r="AF47" i="33"/>
  <c r="AF61" i="33" s="1"/>
  <c r="AF45" i="33"/>
  <c r="AF59" i="33" s="1"/>
  <c r="AF42" i="33"/>
  <c r="AF56" i="33" s="1"/>
  <c r="Q46" i="33"/>
  <c r="Q60" i="33" s="1"/>
  <c r="Q47" i="33"/>
  <c r="Q61" i="33" s="1"/>
  <c r="Q44" i="33"/>
  <c r="Q58" i="33" s="1"/>
  <c r="Q50" i="33"/>
  <c r="Q64" i="33" s="1"/>
  <c r="Q48" i="33"/>
  <c r="Q62" i="33" s="1"/>
  <c r="Q45" i="33"/>
  <c r="Q59" i="33" s="1"/>
  <c r="Q49" i="33"/>
  <c r="Q63" i="33" s="1"/>
  <c r="Q42" i="33"/>
  <c r="Q56" i="33" s="1"/>
  <c r="L46" i="38"/>
  <c r="L60" i="38" s="1"/>
  <c r="L45" i="38"/>
  <c r="L59" i="38" s="1"/>
  <c r="L49" i="38"/>
  <c r="L63" i="38" s="1"/>
  <c r="L50" i="38"/>
  <c r="L64" i="38" s="1"/>
  <c r="L47" i="38"/>
  <c r="L61" i="38" s="1"/>
  <c r="L44" i="38"/>
  <c r="L58" i="38" s="1"/>
  <c r="L42" i="38"/>
  <c r="L56" i="38" s="1"/>
  <c r="L48" i="38"/>
  <c r="L62" i="38" s="1"/>
  <c r="T46" i="38"/>
  <c r="T60" i="38" s="1"/>
  <c r="T44" i="38"/>
  <c r="T58" i="38" s="1"/>
  <c r="T48" i="38"/>
  <c r="T62" i="38" s="1"/>
  <c r="T42" i="38"/>
  <c r="T56" i="38" s="1"/>
  <c r="T49" i="38"/>
  <c r="T63" i="38" s="1"/>
  <c r="T50" i="38"/>
  <c r="T64" i="38" s="1"/>
  <c r="T47" i="38"/>
  <c r="T61" i="38" s="1"/>
  <c r="T45" i="38"/>
  <c r="T59" i="38" s="1"/>
  <c r="AF42" i="38"/>
  <c r="AF56" i="38" s="1"/>
  <c r="AF47" i="38"/>
  <c r="AF61" i="38" s="1"/>
  <c r="AF48" i="38"/>
  <c r="AF62" i="38" s="1"/>
  <c r="AF49" i="38"/>
  <c r="AF63" i="38" s="1"/>
  <c r="AF44" i="38"/>
  <c r="AF58" i="38" s="1"/>
  <c r="AF45" i="38"/>
  <c r="AF59" i="38" s="1"/>
  <c r="AF46" i="38"/>
  <c r="AF60" i="38" s="1"/>
  <c r="AF50" i="38"/>
  <c r="AF64" i="38" s="1"/>
  <c r="U46" i="38"/>
  <c r="U60" i="38" s="1"/>
  <c r="U44" i="38"/>
  <c r="U58" i="38" s="1"/>
  <c r="U47" i="38"/>
  <c r="U61" i="38" s="1"/>
  <c r="U48" i="38"/>
  <c r="U62" i="38" s="1"/>
  <c r="U42" i="38"/>
  <c r="U56" i="38" s="1"/>
  <c r="U45" i="38"/>
  <c r="U59" i="38" s="1"/>
  <c r="U49" i="38"/>
  <c r="U63" i="38" s="1"/>
  <c r="U50" i="38"/>
  <c r="U64" i="38" s="1"/>
  <c r="I46" i="38"/>
  <c r="I60" i="38" s="1"/>
  <c r="I50" i="38"/>
  <c r="I64" i="38" s="1"/>
  <c r="I45" i="38"/>
  <c r="I59" i="38" s="1"/>
  <c r="I42" i="38"/>
  <c r="I56" i="38" s="1"/>
  <c r="I47" i="38"/>
  <c r="I61" i="38" s="1"/>
  <c r="I44" i="38"/>
  <c r="I58" i="38" s="1"/>
  <c r="I48" i="38"/>
  <c r="I62" i="38" s="1"/>
  <c r="I49" i="38"/>
  <c r="I63" i="38" s="1"/>
  <c r="Z47" i="38"/>
  <c r="Z61" i="38" s="1"/>
  <c r="Z50" i="38"/>
  <c r="Z64" i="38" s="1"/>
  <c r="Z44" i="38"/>
  <c r="Z58" i="38" s="1"/>
  <c r="Z48" i="38"/>
  <c r="Z62" i="38" s="1"/>
  <c r="Z46" i="38"/>
  <c r="Z60" i="38" s="1"/>
  <c r="Z42" i="38"/>
  <c r="Z56" i="38" s="1"/>
  <c r="Z45" i="38"/>
  <c r="Z59" i="38" s="1"/>
  <c r="Z49" i="38"/>
  <c r="Z63" i="38" s="1"/>
  <c r="J42" i="38"/>
  <c r="J56" i="38" s="1"/>
  <c r="J46" i="38"/>
  <c r="J60" i="38" s="1"/>
  <c r="J44" i="38"/>
  <c r="J58" i="38" s="1"/>
  <c r="J47" i="38"/>
  <c r="J61" i="38" s="1"/>
  <c r="J48" i="38"/>
  <c r="J62" i="38" s="1"/>
  <c r="J50" i="38"/>
  <c r="J64" i="38" s="1"/>
  <c r="J45" i="38"/>
  <c r="J59" i="38" s="1"/>
  <c r="J49" i="38"/>
  <c r="J63" i="38" s="1"/>
  <c r="AJ7" i="33"/>
  <c r="AK12" i="33"/>
  <c r="AK9" i="33" s="1"/>
  <c r="AJ11" i="33"/>
  <c r="P42" i="33"/>
  <c r="P56" i="33" s="1"/>
  <c r="P44" i="33"/>
  <c r="P58" i="33" s="1"/>
  <c r="P45" i="33"/>
  <c r="P59" i="33" s="1"/>
  <c r="P46" i="33"/>
  <c r="P60" i="33" s="1"/>
  <c r="P47" i="33"/>
  <c r="P61" i="33" s="1"/>
  <c r="P48" i="33"/>
  <c r="P62" i="33" s="1"/>
  <c r="P49" i="33"/>
  <c r="P63" i="33" s="1"/>
  <c r="P50" i="33"/>
  <c r="P64" i="33" s="1"/>
  <c r="AL12" i="31"/>
  <c r="AL9" i="31" s="1"/>
  <c r="AK7" i="31"/>
  <c r="AK11" i="31"/>
  <c r="AD42" i="38"/>
  <c r="AD56" i="38" s="1"/>
  <c r="AD45" i="38"/>
  <c r="AD59" i="38" s="1"/>
  <c r="AD47" i="38"/>
  <c r="AD61" i="38" s="1"/>
  <c r="AD48" i="38"/>
  <c r="AD62" i="38" s="1"/>
  <c r="AD49" i="38"/>
  <c r="AD63" i="38" s="1"/>
  <c r="AD44" i="38"/>
  <c r="AD58" i="38" s="1"/>
  <c r="AD46" i="38"/>
  <c r="AD60" i="38" s="1"/>
  <c r="AD50" i="38"/>
  <c r="AD64" i="38" s="1"/>
  <c r="AH48" i="33"/>
  <c r="AH62" i="33" s="1"/>
  <c r="AH47" i="33"/>
  <c r="AH61" i="33" s="1"/>
  <c r="AH44" i="33"/>
  <c r="AH58" i="33" s="1"/>
  <c r="AH49" i="33"/>
  <c r="AH63" i="33" s="1"/>
  <c r="AH45" i="33"/>
  <c r="AH59" i="33" s="1"/>
  <c r="AH50" i="33"/>
  <c r="AH64" i="33" s="1"/>
  <c r="AH42" i="33"/>
  <c r="AH56" i="33" s="1"/>
  <c r="AH46" i="33"/>
  <c r="AH60" i="33" s="1"/>
  <c r="W45" i="38"/>
  <c r="W59" i="38" s="1"/>
  <c r="W44" i="38"/>
  <c r="W58" i="38" s="1"/>
  <c r="W46" i="38"/>
  <c r="W60" i="38" s="1"/>
  <c r="W47" i="38"/>
  <c r="W61" i="38" s="1"/>
  <c r="W49" i="38"/>
  <c r="W63" i="38" s="1"/>
  <c r="W50" i="38"/>
  <c r="W64" i="38" s="1"/>
  <c r="W42" i="38"/>
  <c r="W56" i="38" s="1"/>
  <c r="W48" i="38"/>
  <c r="W62" i="38" s="1"/>
  <c r="Y44" i="33"/>
  <c r="Y58" i="33" s="1"/>
  <c r="Y46" i="33"/>
  <c r="Y60" i="33" s="1"/>
  <c r="Y48" i="33"/>
  <c r="Y62" i="33" s="1"/>
  <c r="Y47" i="33"/>
  <c r="Y61" i="33" s="1"/>
  <c r="Y49" i="33"/>
  <c r="Y63" i="33" s="1"/>
  <c r="Y45" i="33"/>
  <c r="Y59" i="33" s="1"/>
  <c r="Y50" i="33"/>
  <c r="Y64" i="33" s="1"/>
  <c r="Y42" i="33"/>
  <c r="Y56" i="33" s="1"/>
  <c r="AJ7" i="38"/>
  <c r="AK12" i="38"/>
  <c r="AK9" i="38" s="1"/>
  <c r="AJ11" i="38"/>
  <c r="Q48" i="29"/>
  <c r="Q62" i="29" s="1"/>
  <c r="Q44" i="29"/>
  <c r="Q58" i="29" s="1"/>
  <c r="Q50" i="29"/>
  <c r="Q64" i="29" s="1"/>
  <c r="Q46" i="29"/>
  <c r="Q60" i="29" s="1"/>
  <c r="Q42" i="29"/>
  <c r="Q56" i="29" s="1"/>
  <c r="Q45" i="29"/>
  <c r="Q59" i="29" s="1"/>
  <c r="Q47" i="29"/>
  <c r="Q61" i="29" s="1"/>
  <c r="Q49" i="29"/>
  <c r="Q63" i="29" s="1"/>
  <c r="AG42" i="38"/>
  <c r="AG56" i="38" s="1"/>
  <c r="AG48" i="38"/>
  <c r="AG62" i="38" s="1"/>
  <c r="AG49" i="38"/>
  <c r="AG63" i="38" s="1"/>
  <c r="AG50" i="38"/>
  <c r="AG64" i="38" s="1"/>
  <c r="AG44" i="38"/>
  <c r="AG58" i="38" s="1"/>
  <c r="AG45" i="38"/>
  <c r="AG59" i="38" s="1"/>
  <c r="AG46" i="38"/>
  <c r="AG60" i="38" s="1"/>
  <c r="AG47" i="38"/>
  <c r="AG61" i="38" s="1"/>
  <c r="AK7" i="34"/>
  <c r="AL12" i="34"/>
  <c r="AL9" i="34" s="1"/>
  <c r="AK11" i="34"/>
  <c r="AH48" i="29"/>
  <c r="AH62" i="29" s="1"/>
  <c r="AH47" i="29"/>
  <c r="AH61" i="29" s="1"/>
  <c r="AH50" i="29"/>
  <c r="AH64" i="29" s="1"/>
  <c r="AH45" i="29"/>
  <c r="AH59" i="29" s="1"/>
  <c r="AH44" i="29"/>
  <c r="AH58" i="29" s="1"/>
  <c r="AH46" i="29"/>
  <c r="AH60" i="29" s="1"/>
  <c r="AH49" i="29"/>
  <c r="AH63" i="29" s="1"/>
  <c r="AH42" i="29"/>
  <c r="AH56" i="29" s="1"/>
  <c r="P42" i="29"/>
  <c r="P56" i="29" s="1"/>
  <c r="P50" i="29"/>
  <c r="P64" i="29" s="1"/>
  <c r="P46" i="29"/>
  <c r="P60" i="29" s="1"/>
  <c r="P48" i="29"/>
  <c r="P62" i="29" s="1"/>
  <c r="P44" i="29"/>
  <c r="P58" i="29" s="1"/>
  <c r="P49" i="29"/>
  <c r="P63" i="29" s="1"/>
  <c r="P45" i="29"/>
  <c r="P59" i="29" s="1"/>
  <c r="P47" i="29"/>
  <c r="P61" i="29" s="1"/>
  <c r="AE42" i="38"/>
  <c r="AE56" i="38" s="1"/>
  <c r="AE44" i="38"/>
  <c r="AE58" i="38" s="1"/>
  <c r="AE47" i="38"/>
  <c r="AE61" i="38" s="1"/>
  <c r="AE48" i="38"/>
  <c r="AE62" i="38" s="1"/>
  <c r="AE49" i="38"/>
  <c r="AE63" i="38" s="1"/>
  <c r="AE50" i="38"/>
  <c r="AE64" i="38" s="1"/>
  <c r="AE45" i="38"/>
  <c r="AE59" i="38" s="1"/>
  <c r="AE46" i="38"/>
  <c r="AE60" i="38" s="1"/>
  <c r="AK12" i="29"/>
  <c r="AK9" i="29" s="1"/>
  <c r="AJ7" i="29"/>
  <c r="AJ11" i="29"/>
  <c r="V44" i="33"/>
  <c r="V58" i="33" s="1"/>
  <c r="V45" i="33"/>
  <c r="V59" i="33" s="1"/>
  <c r="V42" i="33"/>
  <c r="V56" i="33" s="1"/>
  <c r="V46" i="33"/>
  <c r="V60" i="33" s="1"/>
  <c r="V47" i="33"/>
  <c r="V61" i="33" s="1"/>
  <c r="V48" i="33"/>
  <c r="V62" i="33" s="1"/>
  <c r="V49" i="33"/>
  <c r="V63" i="33" s="1"/>
  <c r="V50" i="33"/>
  <c r="V64" i="33" s="1"/>
  <c r="X42" i="38"/>
  <c r="X56" i="38" s="1"/>
  <c r="X45" i="38"/>
  <c r="X59" i="38" s="1"/>
  <c r="X46" i="38"/>
  <c r="X60" i="38" s="1"/>
  <c r="X47" i="38"/>
  <c r="X61" i="38" s="1"/>
  <c r="X48" i="38"/>
  <c r="X62" i="38" s="1"/>
  <c r="X50" i="38"/>
  <c r="X64" i="38" s="1"/>
  <c r="X44" i="38"/>
  <c r="X58" i="38" s="1"/>
  <c r="X49" i="38"/>
  <c r="X63" i="38" s="1"/>
  <c r="I42" i="33"/>
  <c r="I56" i="33" s="1"/>
  <c r="I44" i="33"/>
  <c r="I58" i="33" s="1"/>
  <c r="I45" i="33"/>
  <c r="I59" i="33" s="1"/>
  <c r="I46" i="33"/>
  <c r="I60" i="33" s="1"/>
  <c r="I47" i="33"/>
  <c r="I61" i="33" s="1"/>
  <c r="I48" i="33"/>
  <c r="I62" i="33" s="1"/>
  <c r="I49" i="33"/>
  <c r="I63" i="33" s="1"/>
  <c r="I50" i="33"/>
  <c r="I64" i="33" s="1"/>
  <c r="L42" i="29"/>
  <c r="L56" i="29" s="1"/>
  <c r="L46" i="29"/>
  <c r="L60" i="29" s="1"/>
  <c r="L47" i="29"/>
  <c r="L61" i="29" s="1"/>
  <c r="L48" i="29"/>
  <c r="L62" i="29" s="1"/>
  <c r="L49" i="29"/>
  <c r="L63" i="29" s="1"/>
  <c r="L50" i="29"/>
  <c r="L64" i="29" s="1"/>
  <c r="L44" i="29"/>
  <c r="L58" i="29" s="1"/>
  <c r="L45" i="29"/>
  <c r="L59" i="29" s="1"/>
  <c r="J48" i="29"/>
  <c r="J62" i="29" s="1"/>
  <c r="J44" i="29"/>
  <c r="J58" i="29" s="1"/>
  <c r="J45" i="29"/>
  <c r="J59" i="29" s="1"/>
  <c r="J49" i="29"/>
  <c r="J63" i="29" s="1"/>
  <c r="J42" i="29"/>
  <c r="J56" i="29" s="1"/>
  <c r="J46" i="29"/>
  <c r="J60" i="29" s="1"/>
  <c r="J47" i="29"/>
  <c r="J61" i="29" s="1"/>
  <c r="J50" i="29"/>
  <c r="J64" i="29" s="1"/>
  <c r="N46" i="38"/>
  <c r="N60" i="38" s="1"/>
  <c r="N47" i="38"/>
  <c r="N61" i="38" s="1"/>
  <c r="N50" i="38"/>
  <c r="N64" i="38" s="1"/>
  <c r="N42" i="38"/>
  <c r="N56" i="38" s="1"/>
  <c r="N45" i="38"/>
  <c r="N59" i="38" s="1"/>
  <c r="N49" i="38"/>
  <c r="N63" i="38" s="1"/>
  <c r="N48" i="38"/>
  <c r="N62" i="38" s="1"/>
  <c r="N44" i="38"/>
  <c r="N58" i="38" s="1"/>
  <c r="S46" i="38"/>
  <c r="S60" i="38" s="1"/>
  <c r="S45" i="38"/>
  <c r="S59" i="38" s="1"/>
  <c r="S49" i="38"/>
  <c r="S63" i="38" s="1"/>
  <c r="S44" i="38"/>
  <c r="S58" i="38" s="1"/>
  <c r="S48" i="38"/>
  <c r="S62" i="38" s="1"/>
  <c r="S50" i="38"/>
  <c r="S64" i="38" s="1"/>
  <c r="S47" i="38"/>
  <c r="S61" i="38" s="1"/>
  <c r="S42" i="38"/>
  <c r="S56" i="38" s="1"/>
  <c r="H3" i="16"/>
  <c r="H2" i="16"/>
  <c r="H6" i="16"/>
  <c r="H14" i="16"/>
  <c r="P42" i="38"/>
  <c r="P56" i="38" s="1"/>
  <c r="P46" i="38"/>
  <c r="P60" i="38" s="1"/>
  <c r="P44" i="38"/>
  <c r="P58" i="38" s="1"/>
  <c r="P45" i="38"/>
  <c r="P59" i="38" s="1"/>
  <c r="P48" i="38"/>
  <c r="P62" i="38" s="1"/>
  <c r="P49" i="38"/>
  <c r="P63" i="38" s="1"/>
  <c r="P47" i="38"/>
  <c r="P61" i="38" s="1"/>
  <c r="P50" i="38"/>
  <c r="P64" i="38" s="1"/>
  <c r="Q42" i="38"/>
  <c r="Q56" i="38" s="1"/>
  <c r="Q45" i="38"/>
  <c r="Q59" i="38" s="1"/>
  <c r="Q44" i="38"/>
  <c r="Q58" i="38" s="1"/>
  <c r="Q46" i="38"/>
  <c r="Q60" i="38" s="1"/>
  <c r="Q48" i="38"/>
  <c r="Q62" i="38" s="1"/>
  <c r="Q49" i="38"/>
  <c r="Q63" i="38" s="1"/>
  <c r="Q47" i="38"/>
  <c r="Q61" i="38" s="1"/>
  <c r="Q50" i="38"/>
  <c r="Q64" i="38" s="1"/>
  <c r="AG48" i="29"/>
  <c r="AG62" i="29" s="1"/>
  <c r="AG50" i="29"/>
  <c r="AG64" i="29" s="1"/>
  <c r="AG46" i="29"/>
  <c r="AG60" i="29" s="1"/>
  <c r="AG44" i="29"/>
  <c r="AG58" i="29" s="1"/>
  <c r="AG45" i="29"/>
  <c r="AG59" i="29" s="1"/>
  <c r="AG49" i="29"/>
  <c r="AG63" i="29" s="1"/>
  <c r="AG42" i="29"/>
  <c r="AG56" i="29" s="1"/>
  <c r="AG47" i="29"/>
  <c r="AG61" i="29" s="1"/>
  <c r="AB46" i="38"/>
  <c r="AB60" i="38" s="1"/>
  <c r="AB44" i="38"/>
  <c r="AB58" i="38" s="1"/>
  <c r="AB48" i="38"/>
  <c r="AB62" i="38" s="1"/>
  <c r="AB50" i="38"/>
  <c r="AB64" i="38" s="1"/>
  <c r="AB42" i="38"/>
  <c r="AB56" i="38" s="1"/>
  <c r="AB47" i="38"/>
  <c r="AB61" i="38" s="1"/>
  <c r="AB45" i="38"/>
  <c r="AB59" i="38" s="1"/>
  <c r="AB49" i="38"/>
  <c r="AB63" i="38" s="1"/>
  <c r="I2" i="16"/>
  <c r="AE50" i="16"/>
  <c r="AE64" i="16" s="1"/>
  <c r="AE49" i="16"/>
  <c r="AE63" i="16" s="1"/>
  <c r="AE47" i="16"/>
  <c r="AE61" i="16" s="1"/>
  <c r="AE48" i="16"/>
  <c r="AE62" i="16" s="1"/>
  <c r="AE42" i="16"/>
  <c r="AE56" i="16" s="1"/>
  <c r="AE45" i="16"/>
  <c r="AE59" i="16" s="1"/>
  <c r="AE46" i="16"/>
  <c r="AE60" i="16" s="1"/>
  <c r="AE44" i="16"/>
  <c r="AE58" i="16" s="1"/>
  <c r="R46" i="38"/>
  <c r="R60" i="38" s="1"/>
  <c r="R47" i="38"/>
  <c r="R61" i="38" s="1"/>
  <c r="R44" i="38"/>
  <c r="R58" i="38" s="1"/>
  <c r="R48" i="38"/>
  <c r="R62" i="38" s="1"/>
  <c r="R45" i="38"/>
  <c r="R59" i="38" s="1"/>
  <c r="R49" i="38"/>
  <c r="R63" i="38" s="1"/>
  <c r="R50" i="38"/>
  <c r="R64" i="38" s="1"/>
  <c r="R42" i="38"/>
  <c r="R56" i="38" s="1"/>
  <c r="I6" i="16"/>
  <c r="N47" i="16"/>
  <c r="N61" i="16" s="1"/>
  <c r="N49" i="16"/>
  <c r="N63" i="16" s="1"/>
  <c r="N44" i="16"/>
  <c r="N58" i="16" s="1"/>
  <c r="N45" i="16"/>
  <c r="N59" i="16" s="1"/>
  <c r="N42" i="16"/>
  <c r="N56" i="16" s="1"/>
  <c r="N46" i="16"/>
  <c r="N60" i="16" s="1"/>
  <c r="N48" i="16"/>
  <c r="N62" i="16" s="1"/>
  <c r="N50" i="16"/>
  <c r="N64" i="16" s="1"/>
  <c r="T48" i="29"/>
  <c r="T62" i="29" s="1"/>
  <c r="T49" i="29"/>
  <c r="T63" i="29" s="1"/>
  <c r="T44" i="29"/>
  <c r="T58" i="29" s="1"/>
  <c r="T45" i="29"/>
  <c r="T59" i="29" s="1"/>
  <c r="T50" i="29"/>
  <c r="T64" i="29" s="1"/>
  <c r="T46" i="29"/>
  <c r="T60" i="29" s="1"/>
  <c r="T42" i="29"/>
  <c r="T56" i="29" s="1"/>
  <c r="T47" i="29"/>
  <c r="T61" i="29" s="1"/>
  <c r="V45" i="29"/>
  <c r="V59" i="29" s="1"/>
  <c r="V49" i="29"/>
  <c r="V63" i="29" s="1"/>
  <c r="V46" i="29"/>
  <c r="V60" i="29" s="1"/>
  <c r="V42" i="29"/>
  <c r="V56" i="29" s="1"/>
  <c r="V48" i="29"/>
  <c r="V62" i="29" s="1"/>
  <c r="V50" i="29"/>
  <c r="V64" i="29" s="1"/>
  <c r="V44" i="29"/>
  <c r="V58" i="29" s="1"/>
  <c r="V47" i="29"/>
  <c r="V61" i="29" s="1"/>
  <c r="H44" i="33"/>
  <c r="H58" i="33" s="1"/>
  <c r="H45" i="33"/>
  <c r="H59" i="33" s="1"/>
  <c r="H46" i="33"/>
  <c r="H60" i="33" s="1"/>
  <c r="H47" i="33"/>
  <c r="H61" i="33" s="1"/>
  <c r="H48" i="33"/>
  <c r="H62" i="33" s="1"/>
  <c r="H49" i="33"/>
  <c r="H63" i="33" s="1"/>
  <c r="H50" i="33"/>
  <c r="H64" i="33" s="1"/>
  <c r="H44" i="29"/>
  <c r="H58" i="29" s="1"/>
  <c r="H47" i="29"/>
  <c r="H61" i="29" s="1"/>
  <c r="H48" i="29"/>
  <c r="H62" i="29" s="1"/>
  <c r="H49" i="29"/>
  <c r="H63" i="29" s="1"/>
  <c r="H45" i="29"/>
  <c r="H59" i="29" s="1"/>
  <c r="H50" i="29"/>
  <c r="H64" i="29" s="1"/>
  <c r="H46" i="29"/>
  <c r="H60" i="29" s="1"/>
  <c r="K42" i="33"/>
  <c r="K56" i="33" s="1"/>
  <c r="K49" i="33"/>
  <c r="K63" i="33" s="1"/>
  <c r="K45" i="33"/>
  <c r="K59" i="33" s="1"/>
  <c r="K50" i="33"/>
  <c r="K64" i="33" s="1"/>
  <c r="K47" i="33"/>
  <c r="K61" i="33" s="1"/>
  <c r="K46" i="33"/>
  <c r="K60" i="33" s="1"/>
  <c r="K48" i="33"/>
  <c r="K62" i="33" s="1"/>
  <c r="K44" i="33"/>
  <c r="K58" i="33" s="1"/>
  <c r="Z47" i="33"/>
  <c r="Z61" i="33" s="1"/>
  <c r="Z46" i="33"/>
  <c r="Z60" i="33" s="1"/>
  <c r="Z42" i="33"/>
  <c r="Z56" i="33" s="1"/>
  <c r="Z48" i="33"/>
  <c r="Z62" i="33" s="1"/>
  <c r="Z44" i="33"/>
  <c r="Z58" i="33" s="1"/>
  <c r="Z50" i="33"/>
  <c r="Z64" i="33" s="1"/>
  <c r="Z49" i="33"/>
  <c r="Z63" i="33" s="1"/>
  <c r="Z45" i="33"/>
  <c r="Z59" i="33" s="1"/>
  <c r="S47" i="33"/>
  <c r="S61" i="33" s="1"/>
  <c r="S46" i="33"/>
  <c r="S60" i="33" s="1"/>
  <c r="S48" i="33"/>
  <c r="S62" i="33" s="1"/>
  <c r="S44" i="33"/>
  <c r="S58" i="33" s="1"/>
  <c r="S42" i="33"/>
  <c r="S56" i="33" s="1"/>
  <c r="S49" i="33"/>
  <c r="S63" i="33" s="1"/>
  <c r="S45" i="33"/>
  <c r="S59" i="33" s="1"/>
  <c r="S50" i="33"/>
  <c r="S64" i="33" s="1"/>
  <c r="N49" i="33"/>
  <c r="N63" i="33" s="1"/>
  <c r="N45" i="33"/>
  <c r="N59" i="33" s="1"/>
  <c r="N42" i="33"/>
  <c r="N56" i="33" s="1"/>
  <c r="N48" i="33"/>
  <c r="N62" i="33" s="1"/>
  <c r="N44" i="33"/>
  <c r="N58" i="33" s="1"/>
  <c r="N46" i="33"/>
  <c r="N60" i="33" s="1"/>
  <c r="N47" i="33"/>
  <c r="N61" i="33" s="1"/>
  <c r="N50" i="33"/>
  <c r="N64" i="33" s="1"/>
  <c r="L46" i="33"/>
  <c r="L60" i="33" s="1"/>
  <c r="L45" i="33"/>
  <c r="L59" i="33" s="1"/>
  <c r="L48" i="33"/>
  <c r="L62" i="33" s="1"/>
  <c r="L47" i="33"/>
  <c r="L61" i="33" s="1"/>
  <c r="L49" i="33"/>
  <c r="L63" i="33" s="1"/>
  <c r="L50" i="33"/>
  <c r="L64" i="33" s="1"/>
  <c r="L44" i="33"/>
  <c r="L58" i="33" s="1"/>
  <c r="L42" i="33"/>
  <c r="L56" i="33" s="1"/>
  <c r="AA50" i="29"/>
  <c r="AA64" i="29" s="1"/>
  <c r="AA44" i="29"/>
  <c r="AA58" i="29" s="1"/>
  <c r="AA49" i="29"/>
  <c r="AA63" i="29" s="1"/>
  <c r="AA46" i="29"/>
  <c r="AA60" i="29" s="1"/>
  <c r="AA48" i="29"/>
  <c r="AA62" i="29" s="1"/>
  <c r="AA45" i="29"/>
  <c r="AA59" i="29" s="1"/>
  <c r="AA42" i="29"/>
  <c r="AA56" i="29" s="1"/>
  <c r="AA47" i="29"/>
  <c r="AA61" i="29" s="1"/>
  <c r="M46" i="38"/>
  <c r="M60" i="38" s="1"/>
  <c r="M44" i="38"/>
  <c r="M58" i="38" s="1"/>
  <c r="M48" i="38"/>
  <c r="M62" i="38" s="1"/>
  <c r="M42" i="38"/>
  <c r="M56" i="38" s="1"/>
  <c r="M49" i="38"/>
  <c r="M63" i="38" s="1"/>
  <c r="M50" i="38"/>
  <c r="M64" i="38" s="1"/>
  <c r="M47" i="38"/>
  <c r="M61" i="38" s="1"/>
  <c r="M45" i="38"/>
  <c r="M59" i="38" s="1"/>
  <c r="R46" i="33"/>
  <c r="R60" i="33" s="1"/>
  <c r="R49" i="33"/>
  <c r="R63" i="33" s="1"/>
  <c r="R44" i="33"/>
  <c r="R58" i="33" s="1"/>
  <c r="R45" i="33"/>
  <c r="R59" i="33" s="1"/>
  <c r="R47" i="33"/>
  <c r="R61" i="33" s="1"/>
  <c r="R50" i="33"/>
  <c r="R64" i="33" s="1"/>
  <c r="R42" i="33"/>
  <c r="R56" i="33" s="1"/>
  <c r="R48" i="33"/>
  <c r="R62" i="33" s="1"/>
  <c r="H49" i="38"/>
  <c r="H63" i="38" s="1"/>
  <c r="H48" i="38"/>
  <c r="H62" i="38" s="1"/>
  <c r="H44" i="38"/>
  <c r="H58" i="38" s="1"/>
  <c r="H46" i="38"/>
  <c r="H60" i="38" s="1"/>
  <c r="H45" i="38"/>
  <c r="H59" i="38" s="1"/>
  <c r="H50" i="38"/>
  <c r="H64" i="38" s="1"/>
  <c r="H47" i="38"/>
  <c r="H61" i="38" s="1"/>
  <c r="AE42" i="33"/>
  <c r="AE56" i="33" s="1"/>
  <c r="AE44" i="33"/>
  <c r="AE58" i="33" s="1"/>
  <c r="AE47" i="33"/>
  <c r="AE61" i="33" s="1"/>
  <c r="AE48" i="33"/>
  <c r="AE62" i="33" s="1"/>
  <c r="AE49" i="33"/>
  <c r="AE63" i="33" s="1"/>
  <c r="AE50" i="33"/>
  <c r="AE64" i="33" s="1"/>
  <c r="AE45" i="33"/>
  <c r="AE59" i="33" s="1"/>
  <c r="AE46" i="33"/>
  <c r="AE60" i="33" s="1"/>
  <c r="M46" i="33"/>
  <c r="M60" i="33" s="1"/>
  <c r="M45" i="33"/>
  <c r="M59" i="33" s="1"/>
  <c r="M47" i="33"/>
  <c r="M61" i="33" s="1"/>
  <c r="M49" i="33"/>
  <c r="M63" i="33" s="1"/>
  <c r="M44" i="33"/>
  <c r="M58" i="33" s="1"/>
  <c r="M48" i="33"/>
  <c r="M62" i="33" s="1"/>
  <c r="M50" i="33"/>
  <c r="M64" i="33" s="1"/>
  <c r="M42" i="33"/>
  <c r="M56" i="33" s="1"/>
  <c r="AB42" i="33"/>
  <c r="AB56" i="33" s="1"/>
  <c r="AB50" i="33"/>
  <c r="AB64" i="33" s="1"/>
  <c r="AB48" i="33"/>
  <c r="AB62" i="33" s="1"/>
  <c r="AB44" i="33"/>
  <c r="AB58" i="33" s="1"/>
  <c r="AB49" i="33"/>
  <c r="AB63" i="33" s="1"/>
  <c r="AB45" i="33"/>
  <c r="AB59" i="33" s="1"/>
  <c r="AB47" i="33"/>
  <c r="AB61" i="33" s="1"/>
  <c r="AB46" i="33"/>
  <c r="AB60" i="33" s="1"/>
  <c r="AJ7" i="30"/>
  <c r="AK12" i="30"/>
  <c r="AK9" i="30" s="1"/>
  <c r="AJ11" i="30"/>
  <c r="AA46" i="38"/>
  <c r="AA60" i="38" s="1"/>
  <c r="AA45" i="38"/>
  <c r="AA59" i="38" s="1"/>
  <c r="AA49" i="38"/>
  <c r="AA63" i="38" s="1"/>
  <c r="AA42" i="38"/>
  <c r="AA56" i="38" s="1"/>
  <c r="AA47" i="38"/>
  <c r="AA61" i="38" s="1"/>
  <c r="AA44" i="38"/>
  <c r="AA58" i="38" s="1"/>
  <c r="AA48" i="38"/>
  <c r="AA62" i="38" s="1"/>
  <c r="AA50" i="38"/>
  <c r="AA64" i="38" s="1"/>
  <c r="AK12" i="37"/>
  <c r="AK9" i="37" s="1"/>
  <c r="AJ7" i="37"/>
  <c r="AJ11" i="37"/>
  <c r="W50" i="29"/>
  <c r="W64" i="29" s="1"/>
  <c r="W47" i="29"/>
  <c r="W61" i="29" s="1"/>
  <c r="W44" i="29"/>
  <c r="W58" i="29" s="1"/>
  <c r="W49" i="29"/>
  <c r="W63" i="29" s="1"/>
  <c r="W42" i="29"/>
  <c r="W56" i="29" s="1"/>
  <c r="W45" i="29"/>
  <c r="W59" i="29" s="1"/>
  <c r="W48" i="29"/>
  <c r="W62" i="29" s="1"/>
  <c r="W46" i="29"/>
  <c r="W60" i="29" s="1"/>
  <c r="AA50" i="16"/>
  <c r="AA64" i="16" s="1"/>
  <c r="AA49" i="16"/>
  <c r="AA63" i="16" s="1"/>
  <c r="AA42" i="16"/>
  <c r="AA56" i="16" s="1"/>
  <c r="AA44" i="16"/>
  <c r="AA58" i="16" s="1"/>
  <c r="AA45" i="16"/>
  <c r="AA59" i="16" s="1"/>
  <c r="AA46" i="16"/>
  <c r="AA60" i="16" s="1"/>
  <c r="AA47" i="16"/>
  <c r="AA61" i="16" s="1"/>
  <c r="AA48" i="16"/>
  <c r="AA62" i="16" s="1"/>
  <c r="K46" i="38"/>
  <c r="K60" i="38" s="1"/>
  <c r="K45" i="38"/>
  <c r="K59" i="38" s="1"/>
  <c r="K49" i="38"/>
  <c r="K63" i="38" s="1"/>
  <c r="K42" i="38"/>
  <c r="K56" i="38" s="1"/>
  <c r="K50" i="38"/>
  <c r="K64" i="38" s="1"/>
  <c r="K44" i="38"/>
  <c r="K58" i="38" s="1"/>
  <c r="K48" i="38"/>
  <c r="K62" i="38" s="1"/>
  <c r="K47" i="38"/>
  <c r="K61" i="38" s="1"/>
  <c r="AH46" i="38"/>
  <c r="AH60" i="38" s="1"/>
  <c r="AH47" i="38"/>
  <c r="AH61" i="38" s="1"/>
  <c r="AH44" i="38"/>
  <c r="AH58" i="38" s="1"/>
  <c r="AH48" i="38"/>
  <c r="AH62" i="38" s="1"/>
  <c r="AH45" i="38"/>
  <c r="AH59" i="38" s="1"/>
  <c r="AH49" i="38"/>
  <c r="AH63" i="38" s="1"/>
  <c r="AH50" i="38"/>
  <c r="AH64" i="38" s="1"/>
  <c r="AH42" i="38"/>
  <c r="AH56" i="38" s="1"/>
  <c r="X50" i="33"/>
  <c r="X64" i="33" s="1"/>
  <c r="X49" i="33"/>
  <c r="X63" i="33" s="1"/>
  <c r="X48" i="33"/>
  <c r="X62" i="33" s="1"/>
  <c r="X44" i="33"/>
  <c r="X58" i="33" s="1"/>
  <c r="X45" i="33"/>
  <c r="X59" i="33" s="1"/>
  <c r="X46" i="33"/>
  <c r="X60" i="33" s="1"/>
  <c r="X47" i="33"/>
  <c r="X61" i="33" s="1"/>
  <c r="X42" i="33"/>
  <c r="X56" i="33" s="1"/>
  <c r="Z50" i="16"/>
  <c r="Z64" i="16" s="1"/>
  <c r="Z44" i="16"/>
  <c r="Z58" i="16" s="1"/>
  <c r="Z42" i="16"/>
  <c r="Z56" i="16" s="1"/>
  <c r="Z48" i="16"/>
  <c r="Z62" i="16" s="1"/>
  <c r="Z49" i="16"/>
  <c r="Z63" i="16" s="1"/>
  <c r="Z45" i="16"/>
  <c r="Z59" i="16" s="1"/>
  <c r="Z46" i="16"/>
  <c r="Z60" i="16" s="1"/>
  <c r="Z47" i="16"/>
  <c r="Z61" i="16" s="1"/>
  <c r="N48" i="29"/>
  <c r="N62" i="29" s="1"/>
  <c r="N44" i="29"/>
  <c r="N58" i="29" s="1"/>
  <c r="N50" i="29"/>
  <c r="N64" i="29" s="1"/>
  <c r="N46" i="29"/>
  <c r="N60" i="29" s="1"/>
  <c r="N42" i="29"/>
  <c r="N56" i="29" s="1"/>
  <c r="N45" i="29"/>
  <c r="N59" i="29" s="1"/>
  <c r="N47" i="29"/>
  <c r="N61" i="29" s="1"/>
  <c r="N49" i="29"/>
  <c r="N63" i="29" s="1"/>
  <c r="P47" i="16"/>
  <c r="P61" i="16" s="1"/>
  <c r="P42" i="16"/>
  <c r="P56" i="16" s="1"/>
  <c r="P46" i="16"/>
  <c r="P60" i="16" s="1"/>
  <c r="P50" i="16"/>
  <c r="P64" i="16" s="1"/>
  <c r="P49" i="16"/>
  <c r="P63" i="16" s="1"/>
  <c r="P48" i="16"/>
  <c r="P62" i="16" s="1"/>
  <c r="P44" i="16"/>
  <c r="P58" i="16" s="1"/>
  <c r="P45" i="16"/>
  <c r="P59" i="16" s="1"/>
  <c r="E32" i="1" l="1"/>
  <c r="E34" i="1" s="1"/>
  <c r="E33" i="13"/>
  <c r="G33" i="13" s="1"/>
  <c r="E33" i="43"/>
  <c r="G33" i="43" s="1"/>
  <c r="F33" i="1"/>
  <c r="F34" i="1" s="1"/>
  <c r="E10" i="43"/>
  <c r="E10" i="13"/>
  <c r="B26" i="1"/>
  <c r="AK7" i="28"/>
  <c r="AK14" i="28" s="1"/>
  <c r="AK15" i="28" s="1"/>
  <c r="AK9" i="28"/>
  <c r="AJ49" i="35"/>
  <c r="AJ63" i="35" s="1"/>
  <c r="AJ48" i="35"/>
  <c r="AJ62" i="35" s="1"/>
  <c r="AJ45" i="35"/>
  <c r="AJ59" i="35" s="1"/>
  <c r="AJ42" i="35"/>
  <c r="AJ56" i="35" s="1"/>
  <c r="AJ50" i="35"/>
  <c r="AJ64" i="35" s="1"/>
  <c r="AJ47" i="35"/>
  <c r="AJ61" i="35" s="1"/>
  <c r="AJ44" i="35"/>
  <c r="AJ58" i="35" s="1"/>
  <c r="AJ5" i="37"/>
  <c r="AJ5" i="33"/>
  <c r="AJ5" i="16"/>
  <c r="AJ5" i="30"/>
  <c r="AK5" i="31"/>
  <c r="AK5" i="36"/>
  <c r="AK5" i="32"/>
  <c r="AJ5" i="35"/>
  <c r="AJ5" i="31"/>
  <c r="AJ5" i="38"/>
  <c r="AK5" i="34"/>
  <c r="AJ5" i="29"/>
  <c r="AK5" i="35"/>
  <c r="AL12" i="32"/>
  <c r="AK11" i="32"/>
  <c r="AJ50" i="31"/>
  <c r="AJ64" i="31" s="1"/>
  <c r="AJ49" i="31"/>
  <c r="AJ63" i="31" s="1"/>
  <c r="AJ45" i="31"/>
  <c r="AJ59" i="31" s="1"/>
  <c r="AJ47" i="31"/>
  <c r="AJ61" i="31" s="1"/>
  <c r="AJ44" i="31"/>
  <c r="AJ58" i="31" s="1"/>
  <c r="AJ48" i="31"/>
  <c r="AJ62" i="31" s="1"/>
  <c r="AJ46" i="31"/>
  <c r="AJ60" i="31" s="1"/>
  <c r="AJ42" i="31"/>
  <c r="AJ56" i="31" s="1"/>
  <c r="AJ45" i="34"/>
  <c r="AJ59" i="34" s="1"/>
  <c r="AJ5" i="34"/>
  <c r="AJ48" i="32"/>
  <c r="AJ62" i="32" s="1"/>
  <c r="AJ5" i="32"/>
  <c r="AJ46" i="36"/>
  <c r="AJ60" i="36" s="1"/>
  <c r="AJ5" i="36"/>
  <c r="AJ5" i="28"/>
  <c r="AK11" i="36"/>
  <c r="AK7" i="36"/>
  <c r="AL12" i="36"/>
  <c r="AJ45" i="28"/>
  <c r="AJ59" i="28" s="1"/>
  <c r="AJ42" i="36"/>
  <c r="AJ56" i="36" s="1"/>
  <c r="AJ48" i="36"/>
  <c r="AJ62" i="36" s="1"/>
  <c r="AJ50" i="36"/>
  <c r="AJ64" i="36" s="1"/>
  <c r="AJ49" i="36"/>
  <c r="AJ63" i="36" s="1"/>
  <c r="AJ45" i="36"/>
  <c r="AJ59" i="36" s="1"/>
  <c r="AJ44" i="36"/>
  <c r="AJ58" i="36" s="1"/>
  <c r="AJ50" i="28"/>
  <c r="AJ64" i="28" s="1"/>
  <c r="AJ44" i="32"/>
  <c r="AJ58" i="32" s="1"/>
  <c r="AJ47" i="32"/>
  <c r="AJ61" i="32" s="1"/>
  <c r="AJ50" i="32"/>
  <c r="AJ64" i="32" s="1"/>
  <c r="AJ45" i="32"/>
  <c r="AJ59" i="32" s="1"/>
  <c r="AJ42" i="32"/>
  <c r="AJ56" i="32" s="1"/>
  <c r="AJ46" i="32"/>
  <c r="AJ60" i="32" s="1"/>
  <c r="AJ49" i="32"/>
  <c r="AJ63" i="32" s="1"/>
  <c r="AJ46" i="28"/>
  <c r="AJ60" i="28" s="1"/>
  <c r="AJ42" i="28"/>
  <c r="AJ56" i="28" s="1"/>
  <c r="AK7" i="32"/>
  <c r="AJ48" i="28"/>
  <c r="AJ62" i="28" s="1"/>
  <c r="AJ47" i="28"/>
  <c r="AJ61" i="28" s="1"/>
  <c r="AJ49" i="28"/>
  <c r="AJ63" i="28" s="1"/>
  <c r="AL12" i="28"/>
  <c r="AL9" i="28" s="1"/>
  <c r="AJ47" i="36"/>
  <c r="AJ61" i="36" s="1"/>
  <c r="AJ44" i="28"/>
  <c r="AJ58" i="28" s="1"/>
  <c r="AK11" i="28"/>
  <c r="AJ44" i="34"/>
  <c r="AJ58" i="34" s="1"/>
  <c r="E15" i="20"/>
  <c r="E11" i="20"/>
  <c r="E7" i="20"/>
  <c r="E10" i="20"/>
  <c r="E14" i="20"/>
  <c r="E17" i="20"/>
  <c r="E6" i="20"/>
  <c r="E12" i="20"/>
  <c r="E9" i="20"/>
  <c r="E13" i="20"/>
  <c r="E5" i="20"/>
  <c r="E16" i="20"/>
  <c r="AJ46" i="34"/>
  <c r="AJ60" i="34" s="1"/>
  <c r="AJ42" i="34"/>
  <c r="AJ56" i="34" s="1"/>
  <c r="AJ47" i="34"/>
  <c r="AJ61" i="34" s="1"/>
  <c r="AJ50" i="34"/>
  <c r="AJ64" i="34" s="1"/>
  <c r="AJ49" i="34"/>
  <c r="AJ63" i="34" s="1"/>
  <c r="AJ48" i="34"/>
  <c r="AJ62" i="34" s="1"/>
  <c r="AL11" i="35"/>
  <c r="AL7" i="35"/>
  <c r="AL12" i="16"/>
  <c r="AL9" i="16" s="1"/>
  <c r="AK7" i="16"/>
  <c r="AK11" i="16"/>
  <c r="AK44" i="35"/>
  <c r="AK58" i="35" s="1"/>
  <c r="AK46" i="35"/>
  <c r="AK60" i="35" s="1"/>
  <c r="AK45" i="35"/>
  <c r="AK59" i="35" s="1"/>
  <c r="AK47" i="35"/>
  <c r="AK61" i="35" s="1"/>
  <c r="AK48" i="35"/>
  <c r="AK62" i="35" s="1"/>
  <c r="AK49" i="35"/>
  <c r="AK63" i="35" s="1"/>
  <c r="AK50" i="35"/>
  <c r="AK64" i="35" s="1"/>
  <c r="AK42" i="35"/>
  <c r="AK56" i="35" s="1"/>
  <c r="AJ45" i="16"/>
  <c r="AJ59" i="16" s="1"/>
  <c r="AJ48" i="16"/>
  <c r="AJ62" i="16" s="1"/>
  <c r="AJ49" i="16"/>
  <c r="AJ63" i="16" s="1"/>
  <c r="AJ42" i="16"/>
  <c r="AJ56" i="16" s="1"/>
  <c r="AJ50" i="16"/>
  <c r="AJ64" i="16" s="1"/>
  <c r="AJ44" i="16"/>
  <c r="AJ58" i="16" s="1"/>
  <c r="AJ46" i="16"/>
  <c r="AJ60" i="16" s="1"/>
  <c r="AJ47" i="16"/>
  <c r="AJ61" i="16" s="1"/>
  <c r="H4" i="16"/>
  <c r="H52" i="16" s="1"/>
  <c r="H40" i="16" s="1"/>
  <c r="H43" i="16"/>
  <c r="H57" i="16" s="1"/>
  <c r="H15" i="16"/>
  <c r="AK7" i="29"/>
  <c r="AL12" i="29"/>
  <c r="AL9" i="29" s="1"/>
  <c r="AK11" i="29"/>
  <c r="AJ46" i="38"/>
  <c r="AJ60" i="38" s="1"/>
  <c r="AJ45" i="38"/>
  <c r="AJ59" i="38" s="1"/>
  <c r="AJ49" i="38"/>
  <c r="AJ63" i="38" s="1"/>
  <c r="AJ42" i="38"/>
  <c r="AJ56" i="38" s="1"/>
  <c r="AJ50" i="38"/>
  <c r="AJ64" i="38" s="1"/>
  <c r="AJ44" i="38"/>
  <c r="AJ58" i="38" s="1"/>
  <c r="AJ47" i="38"/>
  <c r="AJ61" i="38" s="1"/>
  <c r="AJ48" i="38"/>
  <c r="AJ62" i="38" s="1"/>
  <c r="AL7" i="34"/>
  <c r="AL11" i="34"/>
  <c r="AJ42" i="33"/>
  <c r="AJ56" i="33" s="1"/>
  <c r="AJ44" i="33"/>
  <c r="AJ58" i="33" s="1"/>
  <c r="AJ45" i="33"/>
  <c r="AJ59" i="33" s="1"/>
  <c r="AJ46" i="33"/>
  <c r="AJ60" i="33" s="1"/>
  <c r="AJ47" i="33"/>
  <c r="AJ61" i="33" s="1"/>
  <c r="AJ48" i="33"/>
  <c r="AJ62" i="33" s="1"/>
  <c r="AJ49" i="33"/>
  <c r="AJ63" i="33" s="1"/>
  <c r="AJ50" i="33"/>
  <c r="AJ64" i="33" s="1"/>
  <c r="D7" i="27"/>
  <c r="I7" i="27"/>
  <c r="K7" i="27"/>
  <c r="AK7" i="37"/>
  <c r="AL12" i="37"/>
  <c r="AL9" i="37" s="1"/>
  <c r="AK11" i="37"/>
  <c r="AK50" i="34"/>
  <c r="AK64" i="34" s="1"/>
  <c r="AK42" i="34"/>
  <c r="AK56" i="34" s="1"/>
  <c r="AK46" i="34"/>
  <c r="AK60" i="34" s="1"/>
  <c r="AK47" i="34"/>
  <c r="AK61" i="34" s="1"/>
  <c r="AK48" i="34"/>
  <c r="AK62" i="34" s="1"/>
  <c r="AK44" i="34"/>
  <c r="AK58" i="34" s="1"/>
  <c r="AK49" i="34"/>
  <c r="AK63" i="34" s="1"/>
  <c r="AK45" i="34"/>
  <c r="AK59" i="34" s="1"/>
  <c r="AL12" i="33"/>
  <c r="AL9" i="33" s="1"/>
  <c r="AK7" i="33"/>
  <c r="AK11" i="33"/>
  <c r="B10" i="27"/>
  <c r="K8" i="27"/>
  <c r="B12" i="27"/>
  <c r="B11" i="27"/>
  <c r="D8" i="27"/>
  <c r="I8" i="27"/>
  <c r="AJ48" i="37"/>
  <c r="AJ62" i="37" s="1"/>
  <c r="AJ46" i="37"/>
  <c r="AJ60" i="37" s="1"/>
  <c r="AJ47" i="37"/>
  <c r="AJ61" i="37" s="1"/>
  <c r="AJ49" i="37"/>
  <c r="AJ63" i="37" s="1"/>
  <c r="AJ44" i="37"/>
  <c r="AJ58" i="37" s="1"/>
  <c r="AJ45" i="37"/>
  <c r="AJ59" i="37" s="1"/>
  <c r="AJ50" i="37"/>
  <c r="AJ64" i="37" s="1"/>
  <c r="AJ42" i="37"/>
  <c r="AJ56" i="37" s="1"/>
  <c r="I4" i="16"/>
  <c r="I52" i="16" s="1"/>
  <c r="I40" i="16" s="1"/>
  <c r="I43" i="16"/>
  <c r="I57" i="16" s="1"/>
  <c r="I15" i="16"/>
  <c r="D9" i="27"/>
  <c r="I9" i="27"/>
  <c r="K9" i="27"/>
  <c r="AL12" i="30"/>
  <c r="AL9" i="30" s="1"/>
  <c r="AK7" i="30"/>
  <c r="AK11" i="30"/>
  <c r="AL12" i="38"/>
  <c r="AL9" i="38" s="1"/>
  <c r="AK7" i="38"/>
  <c r="AK11" i="38"/>
  <c r="AK50" i="32"/>
  <c r="AK64" i="32" s="1"/>
  <c r="AK45" i="32"/>
  <c r="AK59" i="32" s="1"/>
  <c r="AK48" i="32"/>
  <c r="AK62" i="32" s="1"/>
  <c r="AK49" i="32"/>
  <c r="AK63" i="32" s="1"/>
  <c r="AK42" i="32"/>
  <c r="AK56" i="32" s="1"/>
  <c r="AK44" i="32"/>
  <c r="AK58" i="32" s="1"/>
  <c r="AK47" i="32"/>
  <c r="AK61" i="32" s="1"/>
  <c r="AK46" i="32"/>
  <c r="AK60" i="32" s="1"/>
  <c r="AK42" i="36"/>
  <c r="AK56" i="36" s="1"/>
  <c r="AK46" i="36"/>
  <c r="AK60" i="36" s="1"/>
  <c r="AK47" i="36"/>
  <c r="AK61" i="36" s="1"/>
  <c r="AK48" i="36"/>
  <c r="AK62" i="36" s="1"/>
  <c r="AK44" i="36"/>
  <c r="AK58" i="36" s="1"/>
  <c r="AK49" i="36"/>
  <c r="AK63" i="36" s="1"/>
  <c r="AK45" i="36"/>
  <c r="AK59" i="36" s="1"/>
  <c r="AK50" i="36"/>
  <c r="AK64" i="36" s="1"/>
  <c r="AL7" i="31"/>
  <c r="AL11" i="31"/>
  <c r="AJ42" i="30"/>
  <c r="AJ56" i="30" s="1"/>
  <c r="AJ46" i="30"/>
  <c r="AJ60" i="30" s="1"/>
  <c r="AJ47" i="30"/>
  <c r="AJ61" i="30" s="1"/>
  <c r="AJ48" i="30"/>
  <c r="AJ62" i="30" s="1"/>
  <c r="AJ49" i="30"/>
  <c r="AJ63" i="30" s="1"/>
  <c r="AJ50" i="30"/>
  <c r="AJ64" i="30" s="1"/>
  <c r="AJ44" i="30"/>
  <c r="AJ58" i="30" s="1"/>
  <c r="AJ45" i="30"/>
  <c r="AJ59" i="30" s="1"/>
  <c r="AJ49" i="29"/>
  <c r="AJ63" i="29" s="1"/>
  <c r="AJ48" i="29"/>
  <c r="AJ62" i="29" s="1"/>
  <c r="AJ44" i="29"/>
  <c r="AJ58" i="29" s="1"/>
  <c r="AJ45" i="29"/>
  <c r="AJ59" i="29" s="1"/>
  <c r="AJ42" i="29"/>
  <c r="AJ56" i="29" s="1"/>
  <c r="AJ47" i="29"/>
  <c r="AJ61" i="29" s="1"/>
  <c r="AJ50" i="29"/>
  <c r="AJ64" i="29" s="1"/>
  <c r="AJ46" i="29"/>
  <c r="AJ60" i="29" s="1"/>
  <c r="AK48" i="31"/>
  <c r="AK62" i="31" s="1"/>
  <c r="AK46" i="31"/>
  <c r="AK60" i="31" s="1"/>
  <c r="AK47" i="31"/>
  <c r="AK61" i="31" s="1"/>
  <c r="AK50" i="31"/>
  <c r="AK64" i="31" s="1"/>
  <c r="AK42" i="31"/>
  <c r="AK56" i="31" s="1"/>
  <c r="AK44" i="31"/>
  <c r="AK58" i="31" s="1"/>
  <c r="AK45" i="31"/>
  <c r="AK59" i="31" s="1"/>
  <c r="AK49" i="31"/>
  <c r="AK63" i="31" s="1"/>
  <c r="AK4" i="28" l="1"/>
  <c r="AK52" i="28" s="1"/>
  <c r="AK40" i="28" s="1"/>
  <c r="AK43" i="28"/>
  <c r="AK57" i="28" s="1"/>
  <c r="AL11" i="36"/>
  <c r="AL9" i="36"/>
  <c r="AL48" i="36" s="1"/>
  <c r="AL62" i="36" s="1"/>
  <c r="AL7" i="32"/>
  <c r="AL14" i="32" s="1"/>
  <c r="AL15" i="32" s="1"/>
  <c r="AL9" i="32"/>
  <c r="E20" i="13"/>
  <c r="AK5" i="37"/>
  <c r="AL5" i="31"/>
  <c r="AK5" i="33"/>
  <c r="AK5" i="16"/>
  <c r="AK5" i="30"/>
  <c r="AK5" i="29"/>
  <c r="AL5" i="35"/>
  <c r="AK5" i="38"/>
  <c r="AL11" i="32"/>
  <c r="AL7" i="36"/>
  <c r="AM7" i="36" s="1"/>
  <c r="M8" i="40" s="1"/>
  <c r="J5" i="26" a="1"/>
  <c r="J5" i="26" s="1"/>
  <c r="AL5" i="28"/>
  <c r="AK48" i="28"/>
  <c r="AK62" i="28" s="1"/>
  <c r="AK5" i="28"/>
  <c r="J38" i="26" a="1"/>
  <c r="J38" i="26" s="1"/>
  <c r="AL5" i="34"/>
  <c r="AL7" i="28"/>
  <c r="AL14" i="28" s="1"/>
  <c r="AL43" i="28" s="1"/>
  <c r="AL57" i="28" s="1"/>
  <c r="AK42" i="28"/>
  <c r="AK56" i="28" s="1"/>
  <c r="AL11" i="28"/>
  <c r="AK47" i="28"/>
  <c r="AK61" i="28" s="1"/>
  <c r="AK46" i="28"/>
  <c r="AK60" i="28" s="1"/>
  <c r="AK45" i="28"/>
  <c r="AK59" i="28" s="1"/>
  <c r="AK50" i="28"/>
  <c r="AK64" i="28" s="1"/>
  <c r="AK6" i="28"/>
  <c r="AK49" i="28"/>
  <c r="AK63" i="28" s="1"/>
  <c r="AK44" i="28"/>
  <c r="AK58" i="28" s="1"/>
  <c r="E18" i="20"/>
  <c r="S1" i="30"/>
  <c r="I3" i="16"/>
  <c r="Q1" i="30"/>
  <c r="AL49" i="35"/>
  <c r="AL63" i="35" s="1"/>
  <c r="AL50" i="35"/>
  <c r="AL64" i="35" s="1"/>
  <c r="AL44" i="35"/>
  <c r="AL58" i="35" s="1"/>
  <c r="AL45" i="35"/>
  <c r="AL59" i="35" s="1"/>
  <c r="P38" i="26" a="1"/>
  <c r="P38" i="26" s="1"/>
  <c r="AL46" i="35"/>
  <c r="AL60" i="35" s="1"/>
  <c r="AL47" i="35"/>
  <c r="AL61" i="35" s="1"/>
  <c r="AL42" i="35"/>
  <c r="AL56" i="35" s="1"/>
  <c r="AL48" i="35"/>
  <c r="AL62" i="35" s="1"/>
  <c r="AL6" i="35"/>
  <c r="AL14" i="35"/>
  <c r="AK50" i="16"/>
  <c r="AK64" i="16" s="1"/>
  <c r="AK42" i="16"/>
  <c r="AK56" i="16" s="1"/>
  <c r="AK47" i="16"/>
  <c r="AK61" i="16" s="1"/>
  <c r="AK48" i="16"/>
  <c r="AK62" i="16" s="1"/>
  <c r="AK44" i="16"/>
  <c r="AK58" i="16" s="1"/>
  <c r="AK49" i="16"/>
  <c r="AK63" i="16" s="1"/>
  <c r="AK46" i="16"/>
  <c r="AK60" i="16" s="1"/>
  <c r="AK45" i="16"/>
  <c r="AK59" i="16" s="1"/>
  <c r="AL1" i="32"/>
  <c r="AL54" i="32" s="1"/>
  <c r="AL67" i="32" s="1"/>
  <c r="AL7" i="16"/>
  <c r="AM7" i="16" s="1"/>
  <c r="D8" i="40" s="1"/>
  <c r="AL11" i="16"/>
  <c r="AM7" i="35"/>
  <c r="L8" i="40" s="1"/>
  <c r="T1" i="30"/>
  <c r="T6" i="30" s="1"/>
  <c r="D12" i="27"/>
  <c r="I12" i="27"/>
  <c r="AA1" i="31" s="1"/>
  <c r="AA54" i="31" s="1"/>
  <c r="AA67" i="31" s="1"/>
  <c r="K12" i="27"/>
  <c r="AC1" i="38"/>
  <c r="AC54" i="38" s="1"/>
  <c r="AC67" i="38" s="1"/>
  <c r="M1" i="37"/>
  <c r="M54" i="37" s="1"/>
  <c r="M67" i="37" s="1"/>
  <c r="O1" i="31"/>
  <c r="O54" i="31" s="1"/>
  <c r="O67" i="31" s="1"/>
  <c r="P1" i="28"/>
  <c r="P1" i="37"/>
  <c r="X1" i="30"/>
  <c r="X54" i="30" s="1"/>
  <c r="X67" i="30" s="1"/>
  <c r="AD1" i="33"/>
  <c r="AD54" i="33" s="1"/>
  <c r="AD67" i="33" s="1"/>
  <c r="R1" i="36"/>
  <c r="R54" i="36" s="1"/>
  <c r="R67" i="36" s="1"/>
  <c r="AI1" i="33"/>
  <c r="AI54" i="33" s="1"/>
  <c r="AI67" i="33" s="1"/>
  <c r="AH1" i="33"/>
  <c r="AA1" i="38"/>
  <c r="I1" i="29"/>
  <c r="Q1" i="38"/>
  <c r="Q54" i="38" s="1"/>
  <c r="Q67" i="38" s="1"/>
  <c r="N1" i="16"/>
  <c r="N54" i="16" s="1"/>
  <c r="AA1" i="16"/>
  <c r="AA54" i="16" s="1"/>
  <c r="AA67" i="16" s="1"/>
  <c r="W1" i="29"/>
  <c r="AF1" i="33"/>
  <c r="AF54" i="33" s="1"/>
  <c r="AF67" i="33" s="1"/>
  <c r="AD1" i="38"/>
  <c r="AD54" i="38" s="1"/>
  <c r="AD67" i="38" s="1"/>
  <c r="R1" i="29"/>
  <c r="R54" i="29" s="1"/>
  <c r="R67" i="29" s="1"/>
  <c r="AI1" i="28"/>
  <c r="AI54" i="28" s="1"/>
  <c r="AI67" i="28" s="1"/>
  <c r="U1" i="28"/>
  <c r="U54" i="28" s="1"/>
  <c r="U67" i="28" s="1"/>
  <c r="O1" i="33"/>
  <c r="O54" i="33" s="1"/>
  <c r="O67" i="33" s="1"/>
  <c r="K1" i="28"/>
  <c r="K54" i="28" s="1"/>
  <c r="K67" i="28" s="1"/>
  <c r="W1" i="37"/>
  <c r="M1" i="36"/>
  <c r="M54" i="36" s="1"/>
  <c r="M67" i="36" s="1"/>
  <c r="V1" i="36"/>
  <c r="V54" i="36" s="1"/>
  <c r="V67" i="36" s="1"/>
  <c r="AD1" i="30"/>
  <c r="AD54" i="30" s="1"/>
  <c r="AD67" i="30" s="1"/>
  <c r="S1" i="32"/>
  <c r="S54" i="32" s="1"/>
  <c r="S67" i="32" s="1"/>
  <c r="W1" i="31"/>
  <c r="W54" i="31" s="1"/>
  <c r="W67" i="31" s="1"/>
  <c r="AJ1" i="35"/>
  <c r="AJ54" i="35" s="1"/>
  <c r="AJ67" i="35" s="1"/>
  <c r="AE1" i="35"/>
  <c r="AE54" i="35" s="1"/>
  <c r="AE67" i="35" s="1"/>
  <c r="H1" i="35"/>
  <c r="H54" i="35" s="1"/>
  <c r="H67" i="35" s="1"/>
  <c r="AI1" i="34"/>
  <c r="AI54" i="34" s="1"/>
  <c r="AI67" i="34" s="1"/>
  <c r="V1" i="31"/>
  <c r="V54" i="31" s="1"/>
  <c r="V67" i="31" s="1"/>
  <c r="AH1" i="34"/>
  <c r="AH54" i="34" s="1"/>
  <c r="AH67" i="34" s="1"/>
  <c r="J1" i="34"/>
  <c r="Z1" i="32"/>
  <c r="Z54" i="32" s="1"/>
  <c r="Z67" i="32" s="1"/>
  <c r="M1" i="34"/>
  <c r="M54" i="34" s="1"/>
  <c r="M67" i="34" s="1"/>
  <c r="H1" i="31"/>
  <c r="H54" i="31" s="1"/>
  <c r="H67" i="31" s="1"/>
  <c r="AD1" i="16"/>
  <c r="AD54" i="16" s="1"/>
  <c r="AD67" i="16" s="1"/>
  <c r="L1" i="31"/>
  <c r="L54" i="31" s="1"/>
  <c r="L67" i="31" s="1"/>
  <c r="R1" i="34"/>
  <c r="R54" i="34" s="1"/>
  <c r="R67" i="34" s="1"/>
  <c r="Q1" i="37"/>
  <c r="Q54" i="37" s="1"/>
  <c r="Q67" i="37" s="1"/>
  <c r="T1" i="16"/>
  <c r="T54" i="16" s="1"/>
  <c r="AG1" i="28"/>
  <c r="AG54" i="28" s="1"/>
  <c r="AG67" i="28" s="1"/>
  <c r="S1" i="28"/>
  <c r="S54" i="28" s="1"/>
  <c r="S67" i="28" s="1"/>
  <c r="AL46" i="34"/>
  <c r="AL60" i="34" s="1"/>
  <c r="AL48" i="34"/>
  <c r="AL62" i="34" s="1"/>
  <c r="AL45" i="34"/>
  <c r="AL59" i="34" s="1"/>
  <c r="AL50" i="34"/>
  <c r="AL64" i="34" s="1"/>
  <c r="AL42" i="34"/>
  <c r="AL56" i="34" s="1"/>
  <c r="AL47" i="34"/>
  <c r="AL61" i="34" s="1"/>
  <c r="AL49" i="34"/>
  <c r="AL63" i="34" s="1"/>
  <c r="AL44" i="34"/>
  <c r="AL58" i="34" s="1"/>
  <c r="AL1" i="36"/>
  <c r="AL54" i="36" s="1"/>
  <c r="AL67" i="36" s="1"/>
  <c r="AK1" i="29"/>
  <c r="U1" i="29"/>
  <c r="O1" i="28"/>
  <c r="O54" i="28" s="1"/>
  <c r="O67" i="28" s="1"/>
  <c r="AF1" i="36"/>
  <c r="AF54" i="36" s="1"/>
  <c r="AF67" i="36" s="1"/>
  <c r="AG1" i="34"/>
  <c r="AG54" i="34" s="1"/>
  <c r="AG67" i="34" s="1"/>
  <c r="Y1" i="34"/>
  <c r="Y54" i="34" s="1"/>
  <c r="Y67" i="34" s="1"/>
  <c r="S1" i="35"/>
  <c r="S54" i="35" s="1"/>
  <c r="S67" i="35" s="1"/>
  <c r="AF1" i="34"/>
  <c r="AF54" i="34" s="1"/>
  <c r="AF67" i="34" s="1"/>
  <c r="H26" i="16"/>
  <c r="AM7" i="34"/>
  <c r="K8" i="40" s="1"/>
  <c r="V1" i="29"/>
  <c r="W1" i="38"/>
  <c r="W54" i="38" s="1"/>
  <c r="W67" i="38" s="1"/>
  <c r="AJ1" i="34"/>
  <c r="AJ54" i="34" s="1"/>
  <c r="AJ67" i="34" s="1"/>
  <c r="AF1" i="29"/>
  <c r="AF54" i="29" s="1"/>
  <c r="AF67" i="29" s="1"/>
  <c r="AG1" i="38"/>
  <c r="T1" i="38"/>
  <c r="K1" i="38"/>
  <c r="K54" i="38" s="1"/>
  <c r="K67" i="38" s="1"/>
  <c r="AB1" i="38"/>
  <c r="H1" i="33"/>
  <c r="H54" i="33" s="1"/>
  <c r="H67" i="33" s="1"/>
  <c r="R1" i="33"/>
  <c r="R54" i="33" s="1"/>
  <c r="R67" i="33" s="1"/>
  <c r="X1" i="16"/>
  <c r="X54" i="16" s="1"/>
  <c r="X67" i="16" s="1"/>
  <c r="AF1" i="30"/>
  <c r="AF54" i="30" s="1"/>
  <c r="AF67" i="30" s="1"/>
  <c r="AC1" i="34"/>
  <c r="AC54" i="34" s="1"/>
  <c r="AC67" i="34" s="1"/>
  <c r="Z1" i="34"/>
  <c r="Z54" i="34" s="1"/>
  <c r="Z67" i="34" s="1"/>
  <c r="M1" i="35"/>
  <c r="W1" i="34"/>
  <c r="J1" i="31"/>
  <c r="J54" i="31" s="1"/>
  <c r="J67" i="31" s="1"/>
  <c r="Y1" i="36"/>
  <c r="L1" i="30"/>
  <c r="S1" i="16"/>
  <c r="AB1" i="36"/>
  <c r="AB54" i="36" s="1"/>
  <c r="AB67" i="36" s="1"/>
  <c r="V1" i="30"/>
  <c r="V54" i="30" s="1"/>
  <c r="V67" i="30" s="1"/>
  <c r="AE1" i="29"/>
  <c r="AE54" i="29" s="1"/>
  <c r="AE67" i="29" s="1"/>
  <c r="AB1" i="32"/>
  <c r="AB54" i="32" s="1"/>
  <c r="AB67" i="32" s="1"/>
  <c r="AJ1" i="16"/>
  <c r="AJ54" i="16" s="1"/>
  <c r="AJ67" i="16" s="1"/>
  <c r="N1" i="30"/>
  <c r="N54" i="30" s="1"/>
  <c r="N67" i="30" s="1"/>
  <c r="U1" i="33"/>
  <c r="U54" i="33" s="1"/>
  <c r="U67" i="33" s="1"/>
  <c r="X1" i="37"/>
  <c r="X54" i="37" s="1"/>
  <c r="X67" i="37" s="1"/>
  <c r="O1" i="16"/>
  <c r="O54" i="16" s="1"/>
  <c r="N1" i="37"/>
  <c r="N54" i="37" s="1"/>
  <c r="N67" i="37" s="1"/>
  <c r="N1" i="32"/>
  <c r="N54" i="32" s="1"/>
  <c r="N67" i="32" s="1"/>
  <c r="AA1" i="36"/>
  <c r="AA54" i="36" s="1"/>
  <c r="AA67" i="36" s="1"/>
  <c r="AI1" i="35"/>
  <c r="N1" i="31"/>
  <c r="N54" i="31" s="1"/>
  <c r="N67" i="31" s="1"/>
  <c r="AI1" i="32"/>
  <c r="X1" i="36"/>
  <c r="X54" i="36" s="1"/>
  <c r="X67" i="36" s="1"/>
  <c r="AD1" i="28"/>
  <c r="AA1" i="35"/>
  <c r="AA54" i="35" s="1"/>
  <c r="AA67" i="35" s="1"/>
  <c r="AF1" i="28"/>
  <c r="AF54" i="28" s="1"/>
  <c r="AF67" i="28" s="1"/>
  <c r="AA1" i="34"/>
  <c r="AA54" i="34" s="1"/>
  <c r="AA67" i="34" s="1"/>
  <c r="M1" i="31"/>
  <c r="M54" i="31" s="1"/>
  <c r="M67" i="31" s="1"/>
  <c r="AL1" i="28"/>
  <c r="AL54" i="28" s="1"/>
  <c r="AL67" i="28" s="1"/>
  <c r="AL7" i="29"/>
  <c r="AM7" i="29" s="1"/>
  <c r="F8" i="40" s="1"/>
  <c r="AL1" i="29"/>
  <c r="AL54" i="29" s="1"/>
  <c r="AL67" i="29" s="1"/>
  <c r="AL11" i="29"/>
  <c r="AL7" i="33"/>
  <c r="AM7" i="33" s="1"/>
  <c r="J8" i="40" s="1"/>
  <c r="AL1" i="33"/>
  <c r="AL54" i="33" s="1"/>
  <c r="AL67" i="33" s="1"/>
  <c r="AL11" i="33"/>
  <c r="Q1" i="33"/>
  <c r="Q54" i="33" s="1"/>
  <c r="Q67" i="33" s="1"/>
  <c r="I1" i="33"/>
  <c r="I54" i="33" s="1"/>
  <c r="I67" i="33" s="1"/>
  <c r="AH1" i="32"/>
  <c r="AH54" i="32" s="1"/>
  <c r="AH67" i="32" s="1"/>
  <c r="AD1" i="35"/>
  <c r="AD54" i="35" s="1"/>
  <c r="AD67" i="35" s="1"/>
  <c r="Q1" i="16"/>
  <c r="Q54" i="16" s="1"/>
  <c r="I1" i="34"/>
  <c r="T1" i="28"/>
  <c r="T54" i="28" s="1"/>
  <c r="T67" i="28" s="1"/>
  <c r="O1" i="29"/>
  <c r="H1" i="36"/>
  <c r="H54" i="36" s="1"/>
  <c r="H67" i="36" s="1"/>
  <c r="AF1" i="38"/>
  <c r="AK1" i="16"/>
  <c r="AK54" i="16" s="1"/>
  <c r="AK67" i="16" s="1"/>
  <c r="U1" i="37"/>
  <c r="AB1" i="35"/>
  <c r="AC1" i="36"/>
  <c r="AC54" i="36" s="1"/>
  <c r="AC67" i="36" s="1"/>
  <c r="AD1" i="37"/>
  <c r="I1" i="36"/>
  <c r="I54" i="36" s="1"/>
  <c r="I67" i="36" s="1"/>
  <c r="U1" i="35"/>
  <c r="R1" i="30"/>
  <c r="R54" i="30" s="1"/>
  <c r="R67" i="30" s="1"/>
  <c r="J1" i="32"/>
  <c r="J54" i="32" s="1"/>
  <c r="J67" i="32" s="1"/>
  <c r="AK1" i="33"/>
  <c r="V1" i="33"/>
  <c r="V54" i="33" s="1"/>
  <c r="V67" i="33" s="1"/>
  <c r="L1" i="38"/>
  <c r="AI1" i="38"/>
  <c r="N1" i="38"/>
  <c r="AL1" i="35"/>
  <c r="AL54" i="35" s="1"/>
  <c r="AL67" i="35" s="1"/>
  <c r="AA1" i="29"/>
  <c r="AA54" i="29" s="1"/>
  <c r="AA67" i="29" s="1"/>
  <c r="I1" i="38"/>
  <c r="I54" i="38" s="1"/>
  <c r="I67" i="38" s="1"/>
  <c r="L1" i="33"/>
  <c r="L54" i="33" s="1"/>
  <c r="L67" i="33" s="1"/>
  <c r="AH1" i="38"/>
  <c r="AH54" i="38" s="1"/>
  <c r="AH67" i="38" s="1"/>
  <c r="T1" i="33"/>
  <c r="AD1" i="32"/>
  <c r="AD54" i="32" s="1"/>
  <c r="AD67" i="32" s="1"/>
  <c r="X1" i="29"/>
  <c r="X54" i="29" s="1"/>
  <c r="X67" i="29" s="1"/>
  <c r="I1" i="32"/>
  <c r="I54" i="32" s="1"/>
  <c r="I67" i="32" s="1"/>
  <c r="K1" i="32"/>
  <c r="K54" i="32" s="1"/>
  <c r="K67" i="32" s="1"/>
  <c r="AG1" i="16"/>
  <c r="AG6" i="16" s="1"/>
  <c r="AH1" i="37"/>
  <c r="AH54" i="37" s="1"/>
  <c r="AH67" i="37" s="1"/>
  <c r="K1" i="34"/>
  <c r="K54" i="34" s="1"/>
  <c r="K67" i="34" s="1"/>
  <c r="I1" i="30"/>
  <c r="I54" i="30" s="1"/>
  <c r="I67" i="30" s="1"/>
  <c r="P1" i="34"/>
  <c r="P54" i="34" s="1"/>
  <c r="P67" i="34" s="1"/>
  <c r="Z1" i="36"/>
  <c r="AC1" i="28"/>
  <c r="AC54" i="28" s="1"/>
  <c r="AC67" i="28" s="1"/>
  <c r="AH1" i="28"/>
  <c r="AH54" i="28" s="1"/>
  <c r="AH67" i="28" s="1"/>
  <c r="I1" i="35"/>
  <c r="I54" i="35" s="1"/>
  <c r="I67" i="35" s="1"/>
  <c r="L1" i="34"/>
  <c r="L54" i="34" s="1"/>
  <c r="L67" i="34" s="1"/>
  <c r="AG1" i="30"/>
  <c r="AC1" i="35"/>
  <c r="AC54" i="35" s="1"/>
  <c r="AC67" i="35" s="1"/>
  <c r="AG1" i="37"/>
  <c r="AG54" i="37" s="1"/>
  <c r="AG67" i="37" s="1"/>
  <c r="V1" i="28"/>
  <c r="Q1" i="34"/>
  <c r="O1" i="34"/>
  <c r="AH1" i="31"/>
  <c r="AH54" i="31" s="1"/>
  <c r="AH67" i="31" s="1"/>
  <c r="W1" i="28"/>
  <c r="V1" i="32"/>
  <c r="AG1" i="36"/>
  <c r="AF1" i="32"/>
  <c r="AF54" i="32" s="1"/>
  <c r="AF67" i="32" s="1"/>
  <c r="AG1" i="31"/>
  <c r="AG54" i="31" s="1"/>
  <c r="AG67" i="31" s="1"/>
  <c r="O1" i="37"/>
  <c r="AE1" i="36"/>
  <c r="AE54" i="36" s="1"/>
  <c r="AE67" i="36" s="1"/>
  <c r="R1" i="31"/>
  <c r="R1" i="28"/>
  <c r="R54" i="28" s="1"/>
  <c r="R67" i="28" s="1"/>
  <c r="Y1" i="30"/>
  <c r="AK47" i="29"/>
  <c r="AK61" i="29" s="1"/>
  <c r="AK44" i="29"/>
  <c r="AK58" i="29" s="1"/>
  <c r="AK50" i="29"/>
  <c r="AK64" i="29" s="1"/>
  <c r="AK46" i="29"/>
  <c r="AK60" i="29" s="1"/>
  <c r="AK49" i="29"/>
  <c r="AK63" i="29" s="1"/>
  <c r="AK45" i="29"/>
  <c r="AK59" i="29" s="1"/>
  <c r="AK48" i="29"/>
  <c r="AK62" i="29" s="1"/>
  <c r="AK42" i="29"/>
  <c r="AK56" i="29" s="1"/>
  <c r="AL7" i="38"/>
  <c r="AM7" i="38" s="1"/>
  <c r="O8" i="40" s="1"/>
  <c r="AL1" i="38"/>
  <c r="AL11" i="38"/>
  <c r="M1" i="29"/>
  <c r="M54" i="29" s="1"/>
  <c r="M67" i="29" s="1"/>
  <c r="S1" i="38"/>
  <c r="P1" i="30"/>
  <c r="P54" i="30" s="1"/>
  <c r="P67" i="30" s="1"/>
  <c r="P1" i="36"/>
  <c r="P54" i="36" s="1"/>
  <c r="P67" i="36" s="1"/>
  <c r="T1" i="35"/>
  <c r="S1" i="36"/>
  <c r="AA1" i="30"/>
  <c r="AE1" i="32"/>
  <c r="AE54" i="32" s="1"/>
  <c r="AE67" i="32" s="1"/>
  <c r="AL1" i="34"/>
  <c r="Z1" i="38"/>
  <c r="AJ1" i="28"/>
  <c r="AJ54" i="28" s="1"/>
  <c r="AJ67" i="28" s="1"/>
  <c r="W1" i="36"/>
  <c r="W54" i="36" s="1"/>
  <c r="W67" i="36" s="1"/>
  <c r="T1" i="36"/>
  <c r="T54" i="36" s="1"/>
  <c r="T67" i="36" s="1"/>
  <c r="N1" i="34"/>
  <c r="N54" i="34" s="1"/>
  <c r="N67" i="34" s="1"/>
  <c r="AE1" i="37"/>
  <c r="AE54" i="37" s="1"/>
  <c r="AE67" i="37" s="1"/>
  <c r="AB1" i="37"/>
  <c r="J1" i="30"/>
  <c r="J54" i="30" s="1"/>
  <c r="J67" i="30" s="1"/>
  <c r="L1" i="32"/>
  <c r="L54" i="32" s="1"/>
  <c r="L67" i="32" s="1"/>
  <c r="Z1" i="28"/>
  <c r="Z54" i="28" s="1"/>
  <c r="Z67" i="28" s="1"/>
  <c r="AK1" i="38"/>
  <c r="L8" i="27"/>
  <c r="AK42" i="33"/>
  <c r="AK56" i="33" s="1"/>
  <c r="AK44" i="33"/>
  <c r="AK58" i="33" s="1"/>
  <c r="AK45" i="33"/>
  <c r="AK59" i="33" s="1"/>
  <c r="AK46" i="33"/>
  <c r="AK60" i="33" s="1"/>
  <c r="AK47" i="33"/>
  <c r="AK61" i="33" s="1"/>
  <c r="AK48" i="33"/>
  <c r="AK62" i="33" s="1"/>
  <c r="AK49" i="33"/>
  <c r="AK63" i="33" s="1"/>
  <c r="AK50" i="33"/>
  <c r="AK64" i="33" s="1"/>
  <c r="AL7" i="37"/>
  <c r="AL14" i="37" s="1"/>
  <c r="AL1" i="37"/>
  <c r="AL11" i="37"/>
  <c r="P1" i="29"/>
  <c r="P1" i="33"/>
  <c r="P54" i="33" s="1"/>
  <c r="P67" i="33" s="1"/>
  <c r="H1" i="37"/>
  <c r="H54" i="37" s="1"/>
  <c r="H67" i="37" s="1"/>
  <c r="P1" i="38"/>
  <c r="P54" i="38" s="1"/>
  <c r="P67" i="38" s="1"/>
  <c r="AJ1" i="32"/>
  <c r="AH1" i="29"/>
  <c r="AH54" i="29" s="1"/>
  <c r="AH67" i="29" s="1"/>
  <c r="N1" i="33"/>
  <c r="N54" i="33" s="1"/>
  <c r="N67" i="33" s="1"/>
  <c r="P1" i="16"/>
  <c r="P54" i="16" s="1"/>
  <c r="N1" i="29"/>
  <c r="N54" i="29" s="1"/>
  <c r="N67" i="29" s="1"/>
  <c r="H1" i="29"/>
  <c r="H54" i="29" s="1"/>
  <c r="H67" i="29" s="1"/>
  <c r="AE1" i="38"/>
  <c r="AH1" i="35"/>
  <c r="AH54" i="35" s="1"/>
  <c r="AH67" i="35" s="1"/>
  <c r="W1" i="35"/>
  <c r="W54" i="35" s="1"/>
  <c r="W67" i="35" s="1"/>
  <c r="AH1" i="16"/>
  <c r="AH54" i="16" s="1"/>
  <c r="AH67" i="16" s="1"/>
  <c r="AC1" i="29"/>
  <c r="AC54" i="29" s="1"/>
  <c r="AC67" i="29" s="1"/>
  <c r="X1" i="34"/>
  <c r="J1" i="35"/>
  <c r="J54" i="35" s="1"/>
  <c r="J67" i="35" s="1"/>
  <c r="AF1" i="16"/>
  <c r="AB1" i="28"/>
  <c r="AB54" i="28" s="1"/>
  <c r="AB67" i="28" s="1"/>
  <c r="J1" i="28"/>
  <c r="J54" i="28" s="1"/>
  <c r="J67" i="28" s="1"/>
  <c r="S1" i="31"/>
  <c r="S54" i="31" s="1"/>
  <c r="S67" i="31" s="1"/>
  <c r="U1" i="36"/>
  <c r="U54" i="36" s="1"/>
  <c r="U67" i="36" s="1"/>
  <c r="T1" i="32"/>
  <c r="T54" i="32" s="1"/>
  <c r="T67" i="32" s="1"/>
  <c r="K1" i="30"/>
  <c r="K54" i="30" s="1"/>
  <c r="K67" i="30" s="1"/>
  <c r="K1" i="16"/>
  <c r="K54" i="16" s="1"/>
  <c r="K67" i="16" s="1"/>
  <c r="O1" i="36"/>
  <c r="O54" i="36" s="1"/>
  <c r="O67" i="36" s="1"/>
  <c r="U1" i="16"/>
  <c r="U54" i="16" s="1"/>
  <c r="AB1" i="30"/>
  <c r="W1" i="16"/>
  <c r="W54" i="16" s="1"/>
  <c r="R1" i="37"/>
  <c r="R54" i="37" s="1"/>
  <c r="R67" i="37" s="1"/>
  <c r="O1" i="35"/>
  <c r="O54" i="35" s="1"/>
  <c r="O67" i="35" s="1"/>
  <c r="AA1" i="37"/>
  <c r="AA54" i="37" s="1"/>
  <c r="AA67" i="37" s="1"/>
  <c r="I1" i="37"/>
  <c r="AI1" i="36"/>
  <c r="AI54" i="36" s="1"/>
  <c r="AI67" i="36" s="1"/>
  <c r="W1" i="30"/>
  <c r="W54" i="30" s="1"/>
  <c r="W67" i="30" s="1"/>
  <c r="AA1" i="28"/>
  <c r="AA54" i="28" s="1"/>
  <c r="AA67" i="28" s="1"/>
  <c r="AE1" i="28"/>
  <c r="AE54" i="28" s="1"/>
  <c r="AE67" i="28" s="1"/>
  <c r="Z1" i="30"/>
  <c r="Z54" i="30" s="1"/>
  <c r="Z67" i="30" s="1"/>
  <c r="Y1" i="32"/>
  <c r="Y54" i="32" s="1"/>
  <c r="Y67" i="32" s="1"/>
  <c r="V1" i="16"/>
  <c r="V54" i="16" s="1"/>
  <c r="J7" i="27"/>
  <c r="J8" i="27" s="1"/>
  <c r="J9" i="27" s="1"/>
  <c r="L7" i="27"/>
  <c r="M7" i="27" s="1"/>
  <c r="AL46" i="28"/>
  <c r="AL60" i="28" s="1"/>
  <c r="AL47" i="28"/>
  <c r="AL61" i="28" s="1"/>
  <c r="AL48" i="28"/>
  <c r="AL62" i="28" s="1"/>
  <c r="AL49" i="28"/>
  <c r="AL63" i="28" s="1"/>
  <c r="AL50" i="28"/>
  <c r="AL64" i="28" s="1"/>
  <c r="AL44" i="28"/>
  <c r="AL58" i="28" s="1"/>
  <c r="AL45" i="28"/>
  <c r="AL59" i="28" s="1"/>
  <c r="AL42" i="28"/>
  <c r="AL56" i="28" s="1"/>
  <c r="AL7" i="30"/>
  <c r="AL14" i="30" s="1"/>
  <c r="AL1" i="30"/>
  <c r="AL54" i="30" s="1"/>
  <c r="AL67" i="30" s="1"/>
  <c r="AL11" i="30"/>
  <c r="I26" i="16"/>
  <c r="I54" i="16" s="1"/>
  <c r="I67" i="16" s="1"/>
  <c r="AG1" i="29"/>
  <c r="AG54" i="29" s="1"/>
  <c r="AG67" i="29" s="1"/>
  <c r="O1" i="38"/>
  <c r="O54" i="38" s="1"/>
  <c r="O67" i="38" s="1"/>
  <c r="U1" i="34"/>
  <c r="U54" i="34" s="1"/>
  <c r="U67" i="34" s="1"/>
  <c r="Q1" i="31"/>
  <c r="Q54" i="31" s="1"/>
  <c r="Q67" i="31" s="1"/>
  <c r="Y1" i="16"/>
  <c r="L1" i="29"/>
  <c r="L54" i="29" s="1"/>
  <c r="L67" i="29" s="1"/>
  <c r="AE1" i="33"/>
  <c r="AE54" i="33" s="1"/>
  <c r="AE67" i="33" s="1"/>
  <c r="J1" i="38"/>
  <c r="J54" i="38" s="1"/>
  <c r="J67" i="38" s="1"/>
  <c r="AG1" i="33"/>
  <c r="AG54" i="33" s="1"/>
  <c r="AG67" i="33" s="1"/>
  <c r="J1" i="36"/>
  <c r="J54" i="36" s="1"/>
  <c r="J67" i="36" s="1"/>
  <c r="S1" i="37"/>
  <c r="S54" i="37" s="1"/>
  <c r="S67" i="37" s="1"/>
  <c r="AG1" i="32"/>
  <c r="AG54" i="32" s="1"/>
  <c r="AG67" i="32" s="1"/>
  <c r="AL48" i="31"/>
  <c r="AL62" i="31" s="1"/>
  <c r="AL45" i="31"/>
  <c r="AL59" i="31" s="1"/>
  <c r="AL46" i="31"/>
  <c r="AL60" i="31" s="1"/>
  <c r="AL49" i="31"/>
  <c r="AL63" i="31" s="1"/>
  <c r="AL50" i="31"/>
  <c r="AL64" i="31" s="1"/>
  <c r="AL47" i="31"/>
  <c r="AL61" i="31" s="1"/>
  <c r="AL44" i="31"/>
  <c r="AL58" i="31" s="1"/>
  <c r="AL42" i="31"/>
  <c r="AL56" i="31" s="1"/>
  <c r="AB5" i="26" a="1"/>
  <c r="AB5" i="26" s="1"/>
  <c r="AK42" i="38"/>
  <c r="AK56" i="38" s="1"/>
  <c r="AK49" i="38"/>
  <c r="AK63" i="38" s="1"/>
  <c r="AK50" i="38"/>
  <c r="AK64" i="38" s="1"/>
  <c r="AK45" i="38"/>
  <c r="AK59" i="38" s="1"/>
  <c r="AK46" i="38"/>
  <c r="AK60" i="38" s="1"/>
  <c r="AK48" i="38"/>
  <c r="AK62" i="38" s="1"/>
  <c r="AK44" i="38"/>
  <c r="AK58" i="38" s="1"/>
  <c r="AK47" i="38"/>
  <c r="AK61" i="38" s="1"/>
  <c r="AK1" i="30"/>
  <c r="AK54" i="30" s="1"/>
  <c r="AK67" i="30" s="1"/>
  <c r="AK1" i="37"/>
  <c r="Y1" i="33"/>
  <c r="Y54" i="33" s="1"/>
  <c r="Y67" i="33" s="1"/>
  <c r="U1" i="38"/>
  <c r="M1" i="30"/>
  <c r="X1" i="38"/>
  <c r="X54" i="38" s="1"/>
  <c r="X67" i="38" s="1"/>
  <c r="V1" i="38"/>
  <c r="V54" i="38" s="1"/>
  <c r="V67" i="38" s="1"/>
  <c r="M1" i="38"/>
  <c r="AB1" i="33"/>
  <c r="AB54" i="33" s="1"/>
  <c r="AB67" i="33" s="1"/>
  <c r="K1" i="33"/>
  <c r="W1" i="33"/>
  <c r="W54" i="33" s="1"/>
  <c r="W67" i="33" s="1"/>
  <c r="J1" i="33"/>
  <c r="J54" i="33" s="1"/>
  <c r="J67" i="33" s="1"/>
  <c r="M1" i="33"/>
  <c r="AA1" i="32"/>
  <c r="X1" i="28"/>
  <c r="X54" i="28" s="1"/>
  <c r="X67" i="28" s="1"/>
  <c r="AF1" i="35"/>
  <c r="AF54" i="35" s="1"/>
  <c r="AF67" i="35" s="1"/>
  <c r="Y1" i="29"/>
  <c r="Y54" i="29" s="1"/>
  <c r="Y67" i="29" s="1"/>
  <c r="N1" i="35"/>
  <c r="K1" i="31"/>
  <c r="J1" i="16"/>
  <c r="J54" i="16" s="1"/>
  <c r="J67" i="16" s="1"/>
  <c r="T1" i="34"/>
  <c r="T54" i="34" s="1"/>
  <c r="T67" i="34" s="1"/>
  <c r="R1" i="16"/>
  <c r="R54" i="16" s="1"/>
  <c r="R67" i="16" s="1"/>
  <c r="AD1" i="36"/>
  <c r="AD54" i="36" s="1"/>
  <c r="AD67" i="36" s="1"/>
  <c r="AB1" i="34"/>
  <c r="AB54" i="34" s="1"/>
  <c r="AB67" i="34" s="1"/>
  <c r="AB1" i="29"/>
  <c r="AB54" i="29" s="1"/>
  <c r="AB67" i="29" s="1"/>
  <c r="N1" i="36"/>
  <c r="N54" i="36" s="1"/>
  <c r="N67" i="36" s="1"/>
  <c r="M1" i="16"/>
  <c r="M54" i="16" s="1"/>
  <c r="AC1" i="37"/>
  <c r="AC54" i="37" s="1"/>
  <c r="AC67" i="37" s="1"/>
  <c r="Q1" i="28"/>
  <c r="Q54" i="28" s="1"/>
  <c r="Q67" i="28" s="1"/>
  <c r="AH1" i="30"/>
  <c r="L1" i="16"/>
  <c r="L6" i="16" s="1"/>
  <c r="X1" i="31"/>
  <c r="X54" i="31" s="1"/>
  <c r="X67" i="31" s="1"/>
  <c r="Y1" i="35"/>
  <c r="Y54" i="35" s="1"/>
  <c r="Y67" i="35" s="1"/>
  <c r="AK1" i="35"/>
  <c r="AK54" i="35" s="1"/>
  <c r="AK67" i="35" s="1"/>
  <c r="X1" i="32"/>
  <c r="X54" i="32" s="1"/>
  <c r="X67" i="32" s="1"/>
  <c r="AI1" i="37"/>
  <c r="Q1" i="36"/>
  <c r="AI1" i="29"/>
  <c r="AI1" i="16"/>
  <c r="AI54" i="16" s="1"/>
  <c r="AI67" i="16" s="1"/>
  <c r="K1" i="29"/>
  <c r="K54" i="29" s="1"/>
  <c r="K67" i="29" s="1"/>
  <c r="H1" i="28"/>
  <c r="H54" i="28" s="1"/>
  <c r="H67" i="28" s="1"/>
  <c r="V1" i="34"/>
  <c r="V54" i="34" s="1"/>
  <c r="V67" i="34" s="1"/>
  <c r="AI1" i="30"/>
  <c r="AI54" i="30" s="1"/>
  <c r="AI67" i="30" s="1"/>
  <c r="Y1" i="37"/>
  <c r="Y54" i="37" s="1"/>
  <c r="Y67" i="37" s="1"/>
  <c r="X1" i="35"/>
  <c r="X54" i="35" s="1"/>
  <c r="X67" i="35" s="1"/>
  <c r="AK47" i="37"/>
  <c r="AK61" i="37" s="1"/>
  <c r="AK50" i="37"/>
  <c r="AK64" i="37" s="1"/>
  <c r="AK42" i="37"/>
  <c r="AK56" i="37" s="1"/>
  <c r="AK46" i="37"/>
  <c r="AK60" i="37" s="1"/>
  <c r="AK48" i="37"/>
  <c r="AK62" i="37" s="1"/>
  <c r="AK44" i="37"/>
  <c r="AK58" i="37" s="1"/>
  <c r="AK49" i="37"/>
  <c r="AK63" i="37" s="1"/>
  <c r="AK45" i="37"/>
  <c r="AK59" i="37" s="1"/>
  <c r="R1" i="38"/>
  <c r="R54" i="38" s="1"/>
  <c r="R67" i="38" s="1"/>
  <c r="H1" i="34"/>
  <c r="AD1" i="34"/>
  <c r="AD54" i="34" s="1"/>
  <c r="AD67" i="34" s="1"/>
  <c r="W1" i="32"/>
  <c r="W54" i="32" s="1"/>
  <c r="W67" i="32" s="1"/>
  <c r="Z1" i="37"/>
  <c r="Z54" i="37" s="1"/>
  <c r="Z67" i="37" s="1"/>
  <c r="S1" i="34"/>
  <c r="S54" i="34" s="1"/>
  <c r="S67" i="34" s="1"/>
  <c r="L1" i="28"/>
  <c r="L54" i="28" s="1"/>
  <c r="L67" i="28" s="1"/>
  <c r="S1" i="29"/>
  <c r="S54" i="29" s="1"/>
  <c r="S67" i="29" s="1"/>
  <c r="X1" i="33"/>
  <c r="X54" i="33" s="1"/>
  <c r="X67" i="33" s="1"/>
  <c r="Z1" i="33"/>
  <c r="Z54" i="33" s="1"/>
  <c r="Z67" i="33" s="1"/>
  <c r="T1" i="29"/>
  <c r="T54" i="29" s="1"/>
  <c r="T67" i="29" s="1"/>
  <c r="Q1" i="32"/>
  <c r="Q54" i="32" s="1"/>
  <c r="Q67" i="32" s="1"/>
  <c r="AE1" i="34"/>
  <c r="AA1" i="33"/>
  <c r="AC1" i="16"/>
  <c r="AC54" i="16" s="1"/>
  <c r="AC67" i="16" s="1"/>
  <c r="Z1" i="35"/>
  <c r="Z54" i="35" s="1"/>
  <c r="Z67" i="35" s="1"/>
  <c r="Z1" i="29"/>
  <c r="Z54" i="29" s="1"/>
  <c r="Z67" i="29" s="1"/>
  <c r="L9" i="27"/>
  <c r="D10" i="27"/>
  <c r="I10" i="27"/>
  <c r="Y1" i="31" s="1"/>
  <c r="K10" i="27"/>
  <c r="AJ1" i="38"/>
  <c r="AJ54" i="38" s="1"/>
  <c r="AJ67" i="38" s="1"/>
  <c r="AJ1" i="30"/>
  <c r="AJ54" i="30" s="1"/>
  <c r="AJ67" i="30" s="1"/>
  <c r="AK1" i="28"/>
  <c r="AK54" i="28" s="1"/>
  <c r="AK67" i="28" s="1"/>
  <c r="AK1" i="31"/>
  <c r="AK54" i="31" s="1"/>
  <c r="AK67" i="31" s="1"/>
  <c r="AK1" i="34"/>
  <c r="AK1" i="32"/>
  <c r="AK54" i="32" s="1"/>
  <c r="AK67" i="32" s="1"/>
  <c r="AJ1" i="29"/>
  <c r="AJ54" i="29" s="1"/>
  <c r="AJ67" i="29" s="1"/>
  <c r="AK1" i="36"/>
  <c r="AK54" i="36" s="1"/>
  <c r="AK67" i="36" s="1"/>
  <c r="AJ1" i="37"/>
  <c r="AJ1" i="33"/>
  <c r="AJ54" i="33" s="1"/>
  <c r="AJ67" i="33" s="1"/>
  <c r="AL1" i="16"/>
  <c r="AL54" i="16" s="1"/>
  <c r="AL67" i="16" s="1"/>
  <c r="AM7" i="31"/>
  <c r="H8" i="40" s="1"/>
  <c r="AK47" i="30"/>
  <c r="AK61" i="30" s="1"/>
  <c r="AK49" i="30"/>
  <c r="AK63" i="30" s="1"/>
  <c r="AK44" i="30"/>
  <c r="AK58" i="30" s="1"/>
  <c r="AK45" i="30"/>
  <c r="AK59" i="30" s="1"/>
  <c r="AK42" i="30"/>
  <c r="AK56" i="30" s="1"/>
  <c r="AK46" i="30"/>
  <c r="AK60" i="30" s="1"/>
  <c r="AK48" i="30"/>
  <c r="AK62" i="30" s="1"/>
  <c r="AK50" i="30"/>
  <c r="AK64" i="30" s="1"/>
  <c r="K11" i="27"/>
  <c r="D11" i="27"/>
  <c r="I11" i="27"/>
  <c r="AL1" i="31" s="1"/>
  <c r="AJ1" i="36"/>
  <c r="AJ54" i="36" s="1"/>
  <c r="AJ67" i="36" s="1"/>
  <c r="Y1" i="38"/>
  <c r="Y54" i="38" s="1"/>
  <c r="Y67" i="38" s="1"/>
  <c r="Q1" i="29"/>
  <c r="Q54" i="29" s="1"/>
  <c r="Q67" i="29" s="1"/>
  <c r="S1" i="33"/>
  <c r="S54" i="33" s="1"/>
  <c r="S67" i="33" s="1"/>
  <c r="J1" i="29"/>
  <c r="J54" i="29" s="1"/>
  <c r="J67" i="29" s="1"/>
  <c r="H1" i="38"/>
  <c r="H54" i="38" s="1"/>
  <c r="H67" i="38" s="1"/>
  <c r="H1" i="30"/>
  <c r="H54" i="30" s="1"/>
  <c r="H67" i="30" s="1"/>
  <c r="AC1" i="33"/>
  <c r="AC54" i="33" s="1"/>
  <c r="AC67" i="33" s="1"/>
  <c r="Z1" i="16"/>
  <c r="Z6" i="16" s="1"/>
  <c r="AE1" i="16"/>
  <c r="AE54" i="16" s="1"/>
  <c r="AE67" i="16" s="1"/>
  <c r="U1" i="32"/>
  <c r="N1" i="28"/>
  <c r="N54" i="28" s="1"/>
  <c r="N67" i="28" s="1"/>
  <c r="T1" i="37"/>
  <c r="T54" i="37" s="1"/>
  <c r="T67" i="37" s="1"/>
  <c r="AC1" i="31"/>
  <c r="AC54" i="31" s="1"/>
  <c r="AC67" i="31" s="1"/>
  <c r="M1" i="32"/>
  <c r="R1" i="35"/>
  <c r="R54" i="35" s="1"/>
  <c r="R67" i="35" s="1"/>
  <c r="U1" i="30"/>
  <c r="U54" i="30" s="1"/>
  <c r="U67" i="30" s="1"/>
  <c r="H1" i="32"/>
  <c r="P1" i="35"/>
  <c r="P54" i="35" s="1"/>
  <c r="P67" i="35" s="1"/>
  <c r="AC1" i="32"/>
  <c r="K1" i="36"/>
  <c r="K54" i="36" s="1"/>
  <c r="K67" i="36" s="1"/>
  <c r="M1" i="28"/>
  <c r="M54" i="28" s="1"/>
  <c r="M67" i="28" s="1"/>
  <c r="AD1" i="29"/>
  <c r="O1" i="30"/>
  <c r="O54" i="30" s="1"/>
  <c r="O67" i="30" s="1"/>
  <c r="V1" i="35"/>
  <c r="V54" i="35" s="1"/>
  <c r="V67" i="35" s="1"/>
  <c r="I1" i="28"/>
  <c r="I1" i="31"/>
  <c r="AF1" i="37"/>
  <c r="AF54" i="37" s="1"/>
  <c r="AF67" i="37" s="1"/>
  <c r="AG1" i="35"/>
  <c r="J1" i="37"/>
  <c r="J54" i="37" s="1"/>
  <c r="J67" i="37" s="1"/>
  <c r="L1" i="35"/>
  <c r="L54" i="35" s="1"/>
  <c r="L67" i="35" s="1"/>
  <c r="L1" i="37"/>
  <c r="L54" i="37" s="1"/>
  <c r="L67" i="37" s="1"/>
  <c r="R1" i="32"/>
  <c r="R54" i="32" s="1"/>
  <c r="R67" i="32" s="1"/>
  <c r="L1" i="36"/>
  <c r="V1" i="37"/>
  <c r="V54" i="37" s="1"/>
  <c r="V67" i="37" s="1"/>
  <c r="Y1" i="28"/>
  <c r="Y54" i="28" s="1"/>
  <c r="Y67" i="28" s="1"/>
  <c r="Q1" i="35"/>
  <c r="Q54" i="35" s="1"/>
  <c r="Q67" i="35" s="1"/>
  <c r="K1" i="35"/>
  <c r="K54" i="35" s="1"/>
  <c r="K67" i="35" s="1"/>
  <c r="AE1" i="30"/>
  <c r="AE54" i="30" s="1"/>
  <c r="AE67" i="30" s="1"/>
  <c r="AH1" i="36"/>
  <c r="AH54" i="36" s="1"/>
  <c r="AH67" i="36" s="1"/>
  <c r="K1" i="37"/>
  <c r="K54" i="37" s="1"/>
  <c r="K67" i="37" s="1"/>
  <c r="AB1" i="16"/>
  <c r="AB54" i="16" s="1"/>
  <c r="AB67" i="16" s="1"/>
  <c r="AC1" i="30"/>
  <c r="AC54" i="30" s="1"/>
  <c r="AC67" i="30" s="1"/>
  <c r="AI6" i="29" l="1"/>
  <c r="AI54" i="29"/>
  <c r="AI67" i="29" s="1"/>
  <c r="I6" i="31"/>
  <c r="I54" i="31"/>
  <c r="I67" i="31" s="1"/>
  <c r="AI6" i="37"/>
  <c r="AI54" i="37"/>
  <c r="AI67" i="37" s="1"/>
  <c r="AL3" i="37"/>
  <c r="AL51" i="37" s="1"/>
  <c r="AL39" i="37" s="1"/>
  <c r="AL54" i="37"/>
  <c r="AL67" i="37" s="1"/>
  <c r="AL3" i="38"/>
  <c r="M6" i="35"/>
  <c r="M54" i="35"/>
  <c r="M67" i="35" s="1"/>
  <c r="H51" i="16"/>
  <c r="H39" i="16" s="1"/>
  <c r="H54" i="16"/>
  <c r="H67" i="16" s="1"/>
  <c r="AK6" i="29"/>
  <c r="L6" i="38"/>
  <c r="L54" i="38"/>
  <c r="L67" i="38" s="1"/>
  <c r="I6" i="34"/>
  <c r="I54" i="34"/>
  <c r="I67" i="34" s="1"/>
  <c r="T6" i="38"/>
  <c r="T54" i="38"/>
  <c r="T67" i="38" s="1"/>
  <c r="U6" i="32"/>
  <c r="U54" i="32"/>
  <c r="U67" i="32" s="1"/>
  <c r="K6" i="33"/>
  <c r="K54" i="33"/>
  <c r="K67" i="33" s="1"/>
  <c r="AK6" i="37"/>
  <c r="T6" i="35"/>
  <c r="T54" i="35"/>
  <c r="T67" i="35" s="1"/>
  <c r="Y6" i="30"/>
  <c r="AG6" i="30"/>
  <c r="AG54" i="30"/>
  <c r="AG67" i="30" s="1"/>
  <c r="I6" i="28"/>
  <c r="AJ6" i="37"/>
  <c r="AJ54" i="37"/>
  <c r="AJ67" i="37" s="1"/>
  <c r="AL6" i="31"/>
  <c r="AL54" i="31"/>
  <c r="AL67" i="31" s="1"/>
  <c r="AK6" i="38"/>
  <c r="AK54" i="38"/>
  <c r="AK67" i="38" s="1"/>
  <c r="AK6" i="33"/>
  <c r="AK54" i="33"/>
  <c r="AK67" i="33" s="1"/>
  <c r="U6" i="37"/>
  <c r="U54" i="37"/>
  <c r="U67" i="37" s="1"/>
  <c r="Q14" i="30"/>
  <c r="Q54" i="30"/>
  <c r="Q67" i="30" s="1"/>
  <c r="Y6" i="16"/>
  <c r="Y54" i="16"/>
  <c r="Y67" i="16" s="1"/>
  <c r="L6" i="30"/>
  <c r="L54" i="30"/>
  <c r="L67" i="30" s="1"/>
  <c r="AK6" i="34"/>
  <c r="AK54" i="34"/>
  <c r="AK67" i="34" s="1"/>
  <c r="H6" i="34"/>
  <c r="AF6" i="16"/>
  <c r="AF54" i="16"/>
  <c r="AF67" i="16" s="1"/>
  <c r="Z6" i="38"/>
  <c r="Z54" i="38"/>
  <c r="Z67" i="38" s="1"/>
  <c r="S6" i="38"/>
  <c r="S54" i="38"/>
  <c r="S67" i="38" s="1"/>
  <c r="O6" i="34"/>
  <c r="O54" i="34"/>
  <c r="O67" i="34" s="1"/>
  <c r="Y6" i="36"/>
  <c r="Y54" i="36"/>
  <c r="Y67" i="36" s="1"/>
  <c r="AA6" i="38"/>
  <c r="AA54" i="38"/>
  <c r="AA67" i="38" s="1"/>
  <c r="S14" i="30"/>
  <c r="S43" i="30" s="1"/>
  <c r="S57" i="30" s="1"/>
  <c r="S54" i="30"/>
  <c r="S67" i="30" s="1"/>
  <c r="M6" i="32"/>
  <c r="M54" i="32"/>
  <c r="M67" i="32" s="1"/>
  <c r="AI6" i="32"/>
  <c r="AI54" i="32"/>
  <c r="AI67" i="32" s="1"/>
  <c r="AA6" i="32"/>
  <c r="AA54" i="32"/>
  <c r="AA67" i="32" s="1"/>
  <c r="AL14" i="34"/>
  <c r="AL15" i="34" s="1"/>
  <c r="O6" i="37"/>
  <c r="O54" i="37"/>
  <c r="O67" i="37" s="1"/>
  <c r="V6" i="29"/>
  <c r="V54" i="29"/>
  <c r="V67" i="29" s="1"/>
  <c r="M6" i="38"/>
  <c r="M54" i="38"/>
  <c r="M67" i="38" s="1"/>
  <c r="AG6" i="35"/>
  <c r="AG54" i="35"/>
  <c r="AG67" i="35" s="1"/>
  <c r="Q6" i="36"/>
  <c r="Q54" i="36"/>
  <c r="Q67" i="36" s="1"/>
  <c r="AB6" i="37"/>
  <c r="AB54" i="37"/>
  <c r="AB67" i="37" s="1"/>
  <c r="V6" i="28"/>
  <c r="V54" i="28"/>
  <c r="V67" i="28" s="1"/>
  <c r="O6" i="29"/>
  <c r="O54" i="29"/>
  <c r="O67" i="29" s="1"/>
  <c r="W6" i="34"/>
  <c r="W54" i="34"/>
  <c r="W67" i="34" s="1"/>
  <c r="U6" i="29"/>
  <c r="U54" i="29"/>
  <c r="U67" i="29" s="1"/>
  <c r="P1" i="32"/>
  <c r="P2" i="32" s="1"/>
  <c r="U1" i="31"/>
  <c r="U54" i="31" s="1"/>
  <c r="U67" i="31" s="1"/>
  <c r="AF1" i="31"/>
  <c r="AF2" i="31" s="1"/>
  <c r="AE1" i="31"/>
  <c r="AE54" i="31" s="1"/>
  <c r="AE67" i="31" s="1"/>
  <c r="O1" i="32"/>
  <c r="AM1" i="32" s="1"/>
  <c r="I4" i="40" s="1"/>
  <c r="AJ1" i="31"/>
  <c r="AM7" i="32"/>
  <c r="I8" i="40" s="1"/>
  <c r="AL43" i="32"/>
  <c r="AL57" i="32" s="1"/>
  <c r="AL4" i="32"/>
  <c r="AL52" i="32" s="1"/>
  <c r="AL40" i="32" s="1"/>
  <c r="AL6" i="32"/>
  <c r="E20" i="43"/>
  <c r="AL44" i="32"/>
  <c r="AL58" i="32" s="1"/>
  <c r="AL42" i="32"/>
  <c r="AL56" i="32" s="1"/>
  <c r="AL50" i="36"/>
  <c r="AL64" i="36" s="1"/>
  <c r="AL45" i="36"/>
  <c r="AL59" i="36" s="1"/>
  <c r="AL44" i="36"/>
  <c r="AL58" i="36" s="1"/>
  <c r="AL5" i="16"/>
  <c r="V38" i="26" a="1"/>
  <c r="V38" i="26" s="1"/>
  <c r="AL5" i="32"/>
  <c r="AL5" i="38"/>
  <c r="AL48" i="32"/>
  <c r="AL62" i="32" s="1"/>
  <c r="AL5" i="30"/>
  <c r="AL45" i="32"/>
  <c r="AL59" i="32" s="1"/>
  <c r="AL50" i="32"/>
  <c r="AL64" i="32" s="1"/>
  <c r="AL46" i="32"/>
  <c r="AL60" i="32" s="1"/>
  <c r="AL47" i="32"/>
  <c r="AL61" i="32" s="1"/>
  <c r="AH5" i="26" a="1"/>
  <c r="AH5" i="26" s="1"/>
  <c r="AL2" i="32"/>
  <c r="AL49" i="32"/>
  <c r="AL63" i="32" s="1"/>
  <c r="AL49" i="36"/>
  <c r="AL63" i="36" s="1"/>
  <c r="AL42" i="36"/>
  <c r="AL56" i="36" s="1"/>
  <c r="AL46" i="36"/>
  <c r="AL60" i="36" s="1"/>
  <c r="AL47" i="36"/>
  <c r="AL61" i="36" s="1"/>
  <c r="AL6" i="36"/>
  <c r="AL5" i="36"/>
  <c r="P1" i="31"/>
  <c r="AJ14" i="28"/>
  <c r="AJ6" i="28"/>
  <c r="Z1" i="31"/>
  <c r="AM7" i="28"/>
  <c r="E8" i="40" s="1"/>
  <c r="AL6" i="34"/>
  <c r="P5" i="26" a="1"/>
  <c r="P5" i="26" s="1"/>
  <c r="AL5" i="29"/>
  <c r="D38" i="26" a="1"/>
  <c r="D38" i="26" s="1"/>
  <c r="AL5" i="33"/>
  <c r="AB38" i="26" a="1"/>
  <c r="AB38" i="26" s="1"/>
  <c r="AL5" i="37"/>
  <c r="AL6" i="28"/>
  <c r="AL4" i="28"/>
  <c r="AL52" i="28" s="1"/>
  <c r="AL40" i="28" s="1"/>
  <c r="AL15" i="28"/>
  <c r="AK26" i="28"/>
  <c r="AK55" i="28" s="1"/>
  <c r="AK68" i="28" s="1"/>
  <c r="AK69" i="28" s="1"/>
  <c r="AK70" i="28" s="1" a="1"/>
  <c r="AK70" i="28" s="1"/>
  <c r="Q6" i="30"/>
  <c r="S6" i="30"/>
  <c r="Q2" i="30"/>
  <c r="AL14" i="36"/>
  <c r="AL43" i="36" s="1"/>
  <c r="AL57" i="36" s="1"/>
  <c r="AM45" i="28"/>
  <c r="S2" i="30"/>
  <c r="AM44" i="31"/>
  <c r="AM50" i="28"/>
  <c r="AD1" i="31"/>
  <c r="AM49" i="34"/>
  <c r="T1" i="31"/>
  <c r="I51" i="16"/>
  <c r="AM48" i="34"/>
  <c r="AM7" i="30"/>
  <c r="G8" i="40" s="1"/>
  <c r="M8" i="27"/>
  <c r="M9" i="27" s="1"/>
  <c r="AM44" i="34"/>
  <c r="T14" i="30"/>
  <c r="T4" i="30" s="1"/>
  <c r="AL2" i="33"/>
  <c r="AL3" i="32"/>
  <c r="AL51" i="32" s="1"/>
  <c r="AK14" i="31"/>
  <c r="AK6" i="31"/>
  <c r="Y14" i="33"/>
  <c r="Y6" i="33"/>
  <c r="AL4" i="35"/>
  <c r="AL52" i="35" s="1"/>
  <c r="AL40" i="35" s="1"/>
  <c r="AL43" i="35"/>
  <c r="AL57" i="35" s="1"/>
  <c r="AL15" i="35"/>
  <c r="AM46" i="35"/>
  <c r="AM60" i="35" s="1"/>
  <c r="V6" i="37"/>
  <c r="V14" i="37"/>
  <c r="V6" i="34"/>
  <c r="V14" i="34"/>
  <c r="AM46" i="31"/>
  <c r="W14" i="28"/>
  <c r="W6" i="28"/>
  <c r="AH14" i="38"/>
  <c r="AH6" i="38"/>
  <c r="AL6" i="29"/>
  <c r="J6" i="31"/>
  <c r="J14" i="31"/>
  <c r="R6" i="33"/>
  <c r="R14" i="33"/>
  <c r="AF14" i="36"/>
  <c r="AF6" i="36"/>
  <c r="T2" i="30"/>
  <c r="H14" i="28"/>
  <c r="H6" i="28"/>
  <c r="AB14" i="29"/>
  <c r="AB6" i="29"/>
  <c r="J14" i="36"/>
  <c r="J6" i="36"/>
  <c r="AE6" i="36"/>
  <c r="AE14" i="36"/>
  <c r="L6" i="33"/>
  <c r="L14" i="33"/>
  <c r="AL14" i="29"/>
  <c r="AL4" i="29" s="1"/>
  <c r="AB14" i="32"/>
  <c r="AB6" i="32"/>
  <c r="O6" i="28"/>
  <c r="O14" i="28"/>
  <c r="AF14" i="33"/>
  <c r="AF6" i="33"/>
  <c r="AM45" i="35"/>
  <c r="AM59" i="35" s="1"/>
  <c r="AJ6" i="34"/>
  <c r="AJ14" i="34"/>
  <c r="AG14" i="33"/>
  <c r="AG6" i="33"/>
  <c r="AH14" i="32"/>
  <c r="AH6" i="32"/>
  <c r="N14" i="32"/>
  <c r="N6" i="32"/>
  <c r="AM47" i="34"/>
  <c r="AL44" i="16"/>
  <c r="AL58" i="16" s="1"/>
  <c r="AL45" i="16"/>
  <c r="AL59" i="16" s="1"/>
  <c r="AL47" i="16"/>
  <c r="AL61" i="16" s="1"/>
  <c r="AL50" i="16"/>
  <c r="AL64" i="16" s="1"/>
  <c r="AL49" i="16"/>
  <c r="AL63" i="16" s="1"/>
  <c r="AL46" i="16"/>
  <c r="AL60" i="16" s="1"/>
  <c r="D5" i="26" a="1"/>
  <c r="D5" i="26" s="1"/>
  <c r="AL48" i="16"/>
  <c r="AL62" i="16" s="1"/>
  <c r="AL42" i="16"/>
  <c r="AL56" i="16" s="1"/>
  <c r="AM47" i="35"/>
  <c r="AM61" i="35" s="1"/>
  <c r="AM44" i="35"/>
  <c r="AM58" i="35" s="1"/>
  <c r="X6" i="31"/>
  <c r="X14" i="31"/>
  <c r="AL14" i="31"/>
  <c r="AL4" i="31" s="1"/>
  <c r="AE14" i="31"/>
  <c r="AE6" i="31"/>
  <c r="AL2" i="30"/>
  <c r="AH14" i="35"/>
  <c r="AH6" i="35"/>
  <c r="AC14" i="28"/>
  <c r="AC6" i="28"/>
  <c r="AA14" i="35"/>
  <c r="AA6" i="35"/>
  <c r="N14" i="37"/>
  <c r="N6" i="37"/>
  <c r="R6" i="36"/>
  <c r="R14" i="36"/>
  <c r="P6" i="28"/>
  <c r="P14" i="28"/>
  <c r="AM50" i="35"/>
  <c r="AM64" i="35" s="1"/>
  <c r="L6" i="35"/>
  <c r="L14" i="35"/>
  <c r="AJ14" i="29"/>
  <c r="AJ6" i="29"/>
  <c r="Z6" i="33"/>
  <c r="Z14" i="33"/>
  <c r="R14" i="16"/>
  <c r="R6" i="16"/>
  <c r="Q6" i="31"/>
  <c r="Q14" i="31"/>
  <c r="K14" i="16"/>
  <c r="K6" i="16"/>
  <c r="H14" i="37"/>
  <c r="H6" i="37"/>
  <c r="AD14" i="28"/>
  <c r="AD6" i="28"/>
  <c r="AM48" i="35"/>
  <c r="AM62" i="35" s="1"/>
  <c r="AM49" i="35"/>
  <c r="AM63" i="35" s="1"/>
  <c r="K14" i="30"/>
  <c r="K6" i="30"/>
  <c r="H6" i="29"/>
  <c r="H14" i="29"/>
  <c r="P6" i="34"/>
  <c r="P14" i="34"/>
  <c r="R14" i="30"/>
  <c r="R6" i="30"/>
  <c r="X14" i="36"/>
  <c r="X6" i="36"/>
  <c r="S14" i="16"/>
  <c r="S6" i="16"/>
  <c r="AC14" i="34"/>
  <c r="AC6" i="34"/>
  <c r="AG14" i="38"/>
  <c r="AG6" i="38"/>
  <c r="S14" i="35"/>
  <c r="S6" i="35"/>
  <c r="W14" i="31"/>
  <c r="W6" i="31"/>
  <c r="AM42" i="35"/>
  <c r="AM56" i="35" s="1"/>
  <c r="S14" i="33"/>
  <c r="S6" i="33"/>
  <c r="K6" i="36"/>
  <c r="K14" i="36"/>
  <c r="AM49" i="31"/>
  <c r="Z6" i="35"/>
  <c r="Z14" i="35"/>
  <c r="AD14" i="34"/>
  <c r="AD6" i="34"/>
  <c r="AC14" i="37"/>
  <c r="AC6" i="37"/>
  <c r="Z14" i="30"/>
  <c r="Z6" i="30"/>
  <c r="T14" i="32"/>
  <c r="T6" i="32"/>
  <c r="AC14" i="29"/>
  <c r="AC6" i="29"/>
  <c r="N14" i="29"/>
  <c r="N6" i="29"/>
  <c r="AL2" i="29"/>
  <c r="AF14" i="30"/>
  <c r="AF6" i="30"/>
  <c r="AI1" i="31"/>
  <c r="AL4" i="30"/>
  <c r="AL52" i="30" s="1"/>
  <c r="AL40" i="30" s="1"/>
  <c r="AL43" i="30"/>
  <c r="AL57" i="30" s="1"/>
  <c r="AL15" i="30"/>
  <c r="AL2" i="31"/>
  <c r="S2" i="33"/>
  <c r="AJ14" i="37"/>
  <c r="AJ2" i="37"/>
  <c r="AF6" i="35"/>
  <c r="AF2" i="35"/>
  <c r="AF14" i="35"/>
  <c r="U6" i="34"/>
  <c r="U2" i="34"/>
  <c r="U14" i="34"/>
  <c r="R14" i="37"/>
  <c r="R2" i="37"/>
  <c r="R6" i="37"/>
  <c r="AL50" i="38"/>
  <c r="AL64" i="38" s="1"/>
  <c r="AL44" i="38"/>
  <c r="AL58" i="38" s="1"/>
  <c r="AL42" i="38"/>
  <c r="AL56" i="38" s="1"/>
  <c r="AL46" i="38"/>
  <c r="AL60" i="38" s="1"/>
  <c r="AL47" i="38"/>
  <c r="AL61" i="38" s="1"/>
  <c r="AL45" i="38"/>
  <c r="AL59" i="38" s="1"/>
  <c r="AL48" i="38"/>
  <c r="AL62" i="38" s="1"/>
  <c r="AL49" i="38"/>
  <c r="AL63" i="38" s="1"/>
  <c r="AG14" i="30"/>
  <c r="AG2" i="30"/>
  <c r="AF14" i="38"/>
  <c r="AF2" i="38"/>
  <c r="AF6" i="38"/>
  <c r="N2" i="31"/>
  <c r="N6" i="31"/>
  <c r="N14" i="31"/>
  <c r="N2" i="30"/>
  <c r="N14" i="30"/>
  <c r="N6" i="30"/>
  <c r="Y14" i="36"/>
  <c r="Y2" i="36"/>
  <c r="AJ2" i="34"/>
  <c r="AM42" i="34"/>
  <c r="AM56" i="34" s="1"/>
  <c r="AG2" i="28"/>
  <c r="AG6" i="28"/>
  <c r="AG14" i="28"/>
  <c r="AD6" i="16"/>
  <c r="AD2" i="16"/>
  <c r="AD14" i="16"/>
  <c r="V2" i="31"/>
  <c r="V14" i="31"/>
  <c r="V6" i="31"/>
  <c r="AE2" i="35"/>
  <c r="AE6" i="35"/>
  <c r="AE14" i="35"/>
  <c r="K14" i="28"/>
  <c r="K2" i="28"/>
  <c r="K6" i="28"/>
  <c r="AA14" i="16"/>
  <c r="AA2" i="16"/>
  <c r="AA6" i="16"/>
  <c r="AC2" i="30"/>
  <c r="AC6" i="30"/>
  <c r="AC14" i="30"/>
  <c r="V2" i="37"/>
  <c r="I14" i="31"/>
  <c r="I2" i="31"/>
  <c r="P2" i="35"/>
  <c r="P6" i="35"/>
  <c r="P14" i="35"/>
  <c r="U14" i="32"/>
  <c r="U2" i="32"/>
  <c r="Q2" i="29"/>
  <c r="Q14" i="29"/>
  <c r="Q6" i="29"/>
  <c r="AM45" i="31"/>
  <c r="AM59" i="31" s="1"/>
  <c r="AK2" i="36"/>
  <c r="AK14" i="36"/>
  <c r="AK6" i="36"/>
  <c r="L10" i="27"/>
  <c r="AE2" i="34"/>
  <c r="AE14" i="34"/>
  <c r="AE6" i="34"/>
  <c r="R2" i="38"/>
  <c r="R14" i="38"/>
  <c r="R6" i="38"/>
  <c r="AI14" i="16"/>
  <c r="AI2" i="16"/>
  <c r="AI6" i="16"/>
  <c r="L14" i="16"/>
  <c r="L2" i="16"/>
  <c r="AD6" i="36"/>
  <c r="AD2" i="36"/>
  <c r="AD14" i="36"/>
  <c r="X2" i="28"/>
  <c r="X14" i="28"/>
  <c r="X6" i="28"/>
  <c r="V2" i="38"/>
  <c r="V14" i="38"/>
  <c r="V6" i="38"/>
  <c r="O14" i="38"/>
  <c r="O2" i="38"/>
  <c r="O6" i="38"/>
  <c r="AM46" i="28"/>
  <c r="AM60" i="28" s="1"/>
  <c r="AA2" i="28"/>
  <c r="AA14" i="28"/>
  <c r="AA6" i="28"/>
  <c r="W14" i="16"/>
  <c r="W67" i="16"/>
  <c r="W2" i="16"/>
  <c r="W6" i="16"/>
  <c r="S14" i="31"/>
  <c r="S2" i="31"/>
  <c r="S6" i="31"/>
  <c r="W14" i="35"/>
  <c r="W2" i="35"/>
  <c r="W6" i="35"/>
  <c r="N2" i="33"/>
  <c r="N6" i="33"/>
  <c r="N14" i="33"/>
  <c r="AL2" i="37"/>
  <c r="AB14" i="37"/>
  <c r="AB2" i="37"/>
  <c r="T14" i="35"/>
  <c r="T2" i="35"/>
  <c r="R6" i="31"/>
  <c r="R2" i="31"/>
  <c r="R14" i="31"/>
  <c r="W2" i="28"/>
  <c r="L2" i="34"/>
  <c r="L14" i="34"/>
  <c r="L6" i="34"/>
  <c r="AH14" i="37"/>
  <c r="AH2" i="37"/>
  <c r="AH6" i="37"/>
  <c r="AH2" i="38"/>
  <c r="V2" i="33"/>
  <c r="V6" i="33"/>
  <c r="V14" i="33"/>
  <c r="AM44" i="28"/>
  <c r="AM58" i="28" s="1"/>
  <c r="U14" i="35"/>
  <c r="U2" i="35"/>
  <c r="U6" i="35"/>
  <c r="T2" i="28"/>
  <c r="T14" i="28"/>
  <c r="T6" i="28"/>
  <c r="M2" i="31"/>
  <c r="M6" i="31"/>
  <c r="M14" i="31"/>
  <c r="AI14" i="35"/>
  <c r="AI6" i="35"/>
  <c r="AI2" i="35"/>
  <c r="AJ2" i="16"/>
  <c r="AJ6" i="16"/>
  <c r="AJ14" i="16"/>
  <c r="J2" i="31"/>
  <c r="R2" i="33"/>
  <c r="W2" i="38"/>
  <c r="W14" i="38"/>
  <c r="W6" i="38"/>
  <c r="AM50" i="34"/>
  <c r="AM64" i="34" s="1"/>
  <c r="T14" i="16"/>
  <c r="T67" i="16"/>
  <c r="T6" i="16"/>
  <c r="T2" i="16"/>
  <c r="H14" i="31"/>
  <c r="H2" i="31"/>
  <c r="H6" i="31"/>
  <c r="AI2" i="34"/>
  <c r="AI14" i="34"/>
  <c r="AI6" i="34"/>
  <c r="AJ14" i="35"/>
  <c r="AJ6" i="35"/>
  <c r="AJ2" i="35"/>
  <c r="O2" i="33"/>
  <c r="O14" i="33"/>
  <c r="O6" i="33"/>
  <c r="N2" i="16"/>
  <c r="N14" i="16"/>
  <c r="N6" i="16"/>
  <c r="R2" i="36"/>
  <c r="Y2" i="28"/>
  <c r="Y6" i="28"/>
  <c r="Y14" i="28"/>
  <c r="AM47" i="28"/>
  <c r="AM61" i="28" s="1"/>
  <c r="P14" i="16"/>
  <c r="P2" i="16"/>
  <c r="P67" i="16"/>
  <c r="P6" i="16"/>
  <c r="Y14" i="38"/>
  <c r="Y2" i="38"/>
  <c r="Y6" i="38"/>
  <c r="AJ2" i="29"/>
  <c r="J10" i="27"/>
  <c r="J11" i="27" s="1"/>
  <c r="J12" i="27" s="1"/>
  <c r="J13" i="27" s="1"/>
  <c r="J14" i="27" s="1"/>
  <c r="J15" i="27" s="1"/>
  <c r="J16" i="27" s="1"/>
  <c r="J17" i="27" s="1"/>
  <c r="Q2" i="32"/>
  <c r="Q6" i="32"/>
  <c r="Q14" i="32"/>
  <c r="S2" i="29"/>
  <c r="S6" i="29"/>
  <c r="S14" i="29"/>
  <c r="AI14" i="29"/>
  <c r="AI2" i="29"/>
  <c r="AH2" i="30"/>
  <c r="AH6" i="30"/>
  <c r="AH14" i="30"/>
  <c r="R2" i="16"/>
  <c r="AA14" i="32"/>
  <c r="AA2" i="32"/>
  <c r="X2" i="38"/>
  <c r="X6" i="38"/>
  <c r="X14" i="38"/>
  <c r="AK2" i="30"/>
  <c r="AG14" i="32"/>
  <c r="AG2" i="32"/>
  <c r="AG6" i="32"/>
  <c r="AG2" i="29"/>
  <c r="AG6" i="29"/>
  <c r="AG14" i="29"/>
  <c r="AL42" i="30"/>
  <c r="AL56" i="30" s="1"/>
  <c r="AL49" i="30"/>
  <c r="AL63" i="30" s="1"/>
  <c r="AL50" i="30"/>
  <c r="AL64" i="30" s="1"/>
  <c r="AL44" i="30"/>
  <c r="AL58" i="30" s="1"/>
  <c r="AL45" i="30"/>
  <c r="AL59" i="30" s="1"/>
  <c r="AL47" i="30"/>
  <c r="AL61" i="30" s="1"/>
  <c r="AL48" i="30"/>
  <c r="AL62" i="30" s="1"/>
  <c r="AL46" i="30"/>
  <c r="AL60" i="30" s="1"/>
  <c r="AL26" i="28"/>
  <c r="AM42" i="28"/>
  <c r="AM56" i="28" s="1"/>
  <c r="W2" i="30"/>
  <c r="W6" i="30"/>
  <c r="W14" i="30"/>
  <c r="AB14" i="30"/>
  <c r="AB2" i="30"/>
  <c r="AB6" i="30"/>
  <c r="J14" i="28"/>
  <c r="J6" i="28"/>
  <c r="J2" i="28"/>
  <c r="P6" i="32"/>
  <c r="P14" i="32"/>
  <c r="AH14" i="29"/>
  <c r="AH2" i="29"/>
  <c r="AH6" i="29"/>
  <c r="AE14" i="37"/>
  <c r="AE6" i="37"/>
  <c r="AE2" i="37"/>
  <c r="P2" i="36"/>
  <c r="P14" i="36"/>
  <c r="P6" i="36"/>
  <c r="AL2" i="38"/>
  <c r="AE2" i="36"/>
  <c r="AH6" i="31"/>
  <c r="AH2" i="31"/>
  <c r="AH14" i="31"/>
  <c r="I14" i="35"/>
  <c r="I2" i="35"/>
  <c r="I6" i="35"/>
  <c r="AG14" i="16"/>
  <c r="AG2" i="16"/>
  <c r="L2" i="33"/>
  <c r="AM50" i="31"/>
  <c r="AM64" i="31" s="1"/>
  <c r="I14" i="36"/>
  <c r="I2" i="36"/>
  <c r="I6" i="36"/>
  <c r="I14" i="34"/>
  <c r="I2" i="34"/>
  <c r="AA2" i="34"/>
  <c r="AA6" i="34"/>
  <c r="AA14" i="34"/>
  <c r="AA6" i="36"/>
  <c r="AA2" i="36"/>
  <c r="AA14" i="36"/>
  <c r="AB2" i="32"/>
  <c r="W14" i="34"/>
  <c r="W2" i="34"/>
  <c r="H2" i="33"/>
  <c r="AM1" i="33"/>
  <c r="J4" i="40" s="1"/>
  <c r="H14" i="33"/>
  <c r="H6" i="33"/>
  <c r="V14" i="29"/>
  <c r="V2" i="29"/>
  <c r="AF14" i="34"/>
  <c r="AF6" i="34"/>
  <c r="AF2" i="34"/>
  <c r="AK14" i="29"/>
  <c r="AK2" i="29"/>
  <c r="AM45" i="34"/>
  <c r="AM59" i="34" s="1"/>
  <c r="Q2" i="37"/>
  <c r="Q14" i="37"/>
  <c r="Q6" i="37"/>
  <c r="O14" i="32"/>
  <c r="O6" i="32"/>
  <c r="W2" i="31"/>
  <c r="U6" i="28"/>
  <c r="U2" i="28"/>
  <c r="U14" i="28"/>
  <c r="Q2" i="38"/>
  <c r="Q14" i="38"/>
  <c r="Q6" i="38"/>
  <c r="U2" i="31"/>
  <c r="U6" i="31"/>
  <c r="U14" i="31"/>
  <c r="P2" i="28"/>
  <c r="V5" i="26" a="1"/>
  <c r="V5" i="26" s="1"/>
  <c r="AC14" i="32"/>
  <c r="AC2" i="32"/>
  <c r="AC6" i="32"/>
  <c r="AA14" i="33"/>
  <c r="AA2" i="33"/>
  <c r="AA6" i="33"/>
  <c r="K2" i="29"/>
  <c r="K6" i="29"/>
  <c r="K14" i="29"/>
  <c r="L2" i="29"/>
  <c r="L14" i="29"/>
  <c r="L6" i="29"/>
  <c r="AE6" i="28"/>
  <c r="AE2" i="28"/>
  <c r="AE14" i="28"/>
  <c r="AH2" i="16"/>
  <c r="AH14" i="16"/>
  <c r="AH6" i="16"/>
  <c r="R2" i="28"/>
  <c r="R6" i="28"/>
  <c r="R14" i="28"/>
  <c r="L14" i="38"/>
  <c r="L2" i="38"/>
  <c r="AA2" i="31"/>
  <c r="AA6" i="31"/>
  <c r="AA14" i="31"/>
  <c r="AB2" i="16"/>
  <c r="AB6" i="16"/>
  <c r="AB14" i="16"/>
  <c r="V14" i="35"/>
  <c r="V2" i="35"/>
  <c r="V6" i="35"/>
  <c r="Z14" i="16"/>
  <c r="Z2" i="16"/>
  <c r="AK14" i="32"/>
  <c r="AK2" i="32"/>
  <c r="AK6" i="32"/>
  <c r="T2" i="29"/>
  <c r="T14" i="29"/>
  <c r="T6" i="29"/>
  <c r="L2" i="28"/>
  <c r="L6" i="28"/>
  <c r="L14" i="28"/>
  <c r="X14" i="35"/>
  <c r="X2" i="35"/>
  <c r="X6" i="35"/>
  <c r="Q14" i="36"/>
  <c r="Q2" i="36"/>
  <c r="Q14" i="28"/>
  <c r="Q2" i="28"/>
  <c r="Q6" i="28"/>
  <c r="T14" i="34"/>
  <c r="T2" i="34"/>
  <c r="T6" i="34"/>
  <c r="M2" i="33"/>
  <c r="M14" i="33"/>
  <c r="M6" i="33"/>
  <c r="M2" i="30"/>
  <c r="M6" i="30"/>
  <c r="M14" i="30"/>
  <c r="S2" i="37"/>
  <c r="S6" i="37"/>
  <c r="S14" i="37"/>
  <c r="I28" i="16"/>
  <c r="I27" i="16"/>
  <c r="I55" i="16"/>
  <c r="I68" i="16" s="1"/>
  <c r="I69" i="16" s="1"/>
  <c r="I70" i="16" s="1" a="1"/>
  <c r="I70" i="16" s="1"/>
  <c r="AL6" i="30"/>
  <c r="AI2" i="36"/>
  <c r="AI6" i="36"/>
  <c r="AI14" i="36"/>
  <c r="U2" i="16"/>
  <c r="U6" i="16"/>
  <c r="U14" i="16"/>
  <c r="AB6" i="28"/>
  <c r="AB2" i="28"/>
  <c r="AB14" i="28"/>
  <c r="Y14" i="31"/>
  <c r="Y2" i="31"/>
  <c r="Y6" i="31"/>
  <c r="AJ2" i="32"/>
  <c r="AJ14" i="32"/>
  <c r="AJ6" i="32"/>
  <c r="AL46" i="37"/>
  <c r="AL60" i="37" s="1"/>
  <c r="AL48" i="37"/>
  <c r="AL62" i="37" s="1"/>
  <c r="AL42" i="37"/>
  <c r="AL56" i="37" s="1"/>
  <c r="AL49" i="37"/>
  <c r="AL63" i="37" s="1"/>
  <c r="AL45" i="37"/>
  <c r="AL59" i="37" s="1"/>
  <c r="AL47" i="37"/>
  <c r="AL61" i="37" s="1"/>
  <c r="AL44" i="37"/>
  <c r="AL58" i="37" s="1"/>
  <c r="AL50" i="37"/>
  <c r="AL64" i="37" s="1"/>
  <c r="AK6" i="30"/>
  <c r="N6" i="34"/>
  <c r="N2" i="34"/>
  <c r="N14" i="34"/>
  <c r="P2" i="30"/>
  <c r="P6" i="30"/>
  <c r="P14" i="30"/>
  <c r="AL6" i="38"/>
  <c r="AM48" i="31"/>
  <c r="AM62" i="31" s="1"/>
  <c r="O14" i="37"/>
  <c r="O2" i="37"/>
  <c r="O14" i="34"/>
  <c r="O2" i="34"/>
  <c r="AH2" i="28"/>
  <c r="AH6" i="28"/>
  <c r="AH14" i="28"/>
  <c r="K14" i="32"/>
  <c r="K2" i="32"/>
  <c r="K6" i="32"/>
  <c r="I2" i="38"/>
  <c r="I6" i="38"/>
  <c r="I14" i="38"/>
  <c r="AD6" i="37"/>
  <c r="AD2" i="37"/>
  <c r="AD14" i="37"/>
  <c r="Q2" i="16"/>
  <c r="Q14" i="16"/>
  <c r="Q6" i="16"/>
  <c r="AM48" i="36"/>
  <c r="AM62" i="36" s="1"/>
  <c r="AF2" i="28"/>
  <c r="AF14" i="28"/>
  <c r="AF6" i="28"/>
  <c r="N2" i="32"/>
  <c r="AE14" i="29"/>
  <c r="AE2" i="29"/>
  <c r="AE6" i="29"/>
  <c r="AF14" i="31"/>
  <c r="AF6" i="31"/>
  <c r="AB14" i="38"/>
  <c r="AB2" i="38"/>
  <c r="AB6" i="38"/>
  <c r="S2" i="35"/>
  <c r="AL2" i="36"/>
  <c r="R14" i="34"/>
  <c r="R2" i="34"/>
  <c r="R6" i="34"/>
  <c r="M2" i="34"/>
  <c r="M6" i="34"/>
  <c r="M14" i="34"/>
  <c r="S14" i="32"/>
  <c r="S2" i="32"/>
  <c r="S6" i="32"/>
  <c r="AI2" i="28"/>
  <c r="AI14" i="28"/>
  <c r="AI6" i="28"/>
  <c r="I2" i="29"/>
  <c r="I14" i="29"/>
  <c r="I6" i="29"/>
  <c r="AD2" i="33"/>
  <c r="AD6" i="33"/>
  <c r="AD14" i="33"/>
  <c r="O2" i="31"/>
  <c r="O6" i="31"/>
  <c r="O14" i="31"/>
  <c r="AB14" i="34"/>
  <c r="AB2" i="34"/>
  <c r="AB6" i="34"/>
  <c r="K2" i="34"/>
  <c r="K14" i="34"/>
  <c r="K6" i="34"/>
  <c r="O14" i="29"/>
  <c r="O2" i="29"/>
  <c r="I14" i="28"/>
  <c r="I2" i="28"/>
  <c r="AH14" i="36"/>
  <c r="AH6" i="36"/>
  <c r="AH2" i="36"/>
  <c r="L14" i="37"/>
  <c r="L2" i="37"/>
  <c r="L6" i="37"/>
  <c r="O2" i="30"/>
  <c r="O6" i="30"/>
  <c r="O14" i="30"/>
  <c r="R2" i="35"/>
  <c r="R14" i="35"/>
  <c r="R6" i="35"/>
  <c r="AC2" i="33"/>
  <c r="AC6" i="33"/>
  <c r="AC14" i="33"/>
  <c r="AK14" i="34"/>
  <c r="AK2" i="34"/>
  <c r="Z2" i="33"/>
  <c r="S2" i="34"/>
  <c r="S6" i="34"/>
  <c r="S14" i="34"/>
  <c r="Y2" i="37"/>
  <c r="Y6" i="37"/>
  <c r="Y14" i="37"/>
  <c r="AI14" i="37"/>
  <c r="AI2" i="37"/>
  <c r="AC2" i="37"/>
  <c r="J14" i="16"/>
  <c r="J6" i="16"/>
  <c r="J2" i="16"/>
  <c r="AM1" i="16"/>
  <c r="D4" i="40" s="1"/>
  <c r="J2" i="33"/>
  <c r="J14" i="33"/>
  <c r="J6" i="33"/>
  <c r="U14" i="38"/>
  <c r="U2" i="38"/>
  <c r="U6" i="38"/>
  <c r="J2" i="36"/>
  <c r="O2" i="36"/>
  <c r="O14" i="36"/>
  <c r="O6" i="36"/>
  <c r="AF14" i="16"/>
  <c r="AF2" i="16"/>
  <c r="AH2" i="35"/>
  <c r="P2" i="38"/>
  <c r="P14" i="38"/>
  <c r="P6" i="38"/>
  <c r="AL4" i="37"/>
  <c r="AL52" i="37" s="1"/>
  <c r="AL40" i="37" s="1"/>
  <c r="AL43" i="37"/>
  <c r="AL57" i="37" s="1"/>
  <c r="AL15" i="37"/>
  <c r="T14" i="36"/>
  <c r="T2" i="36"/>
  <c r="T6" i="36"/>
  <c r="AL2" i="34"/>
  <c r="S14" i="38"/>
  <c r="S2" i="38"/>
  <c r="AL14" i="38"/>
  <c r="AG14" i="31"/>
  <c r="AG2" i="31"/>
  <c r="AG6" i="31"/>
  <c r="Q2" i="34"/>
  <c r="Q14" i="34"/>
  <c r="Q6" i="34"/>
  <c r="AC2" i="28"/>
  <c r="I14" i="32"/>
  <c r="I6" i="32"/>
  <c r="I2" i="32"/>
  <c r="AA2" i="29"/>
  <c r="AA6" i="29"/>
  <c r="AA14" i="29"/>
  <c r="AC2" i="36"/>
  <c r="AC6" i="36"/>
  <c r="AC14" i="36"/>
  <c r="AD14" i="35"/>
  <c r="AD2" i="35"/>
  <c r="AD6" i="35"/>
  <c r="AL6" i="33"/>
  <c r="AA2" i="35"/>
  <c r="N2" i="37"/>
  <c r="V2" i="30"/>
  <c r="V14" i="30"/>
  <c r="V6" i="30"/>
  <c r="M14" i="35"/>
  <c r="M2" i="35"/>
  <c r="K14" i="38"/>
  <c r="K2" i="38"/>
  <c r="K6" i="38"/>
  <c r="H74" i="16"/>
  <c r="H27" i="16"/>
  <c r="H28" i="16"/>
  <c r="H55" i="16"/>
  <c r="Y2" i="34"/>
  <c r="Y14" i="34"/>
  <c r="Y6" i="34"/>
  <c r="AM46" i="34"/>
  <c r="AM60" i="34" s="1"/>
  <c r="L2" i="31"/>
  <c r="L14" i="31"/>
  <c r="L6" i="31"/>
  <c r="AB1" i="31"/>
  <c r="AB54" i="31" s="1"/>
  <c r="AB67" i="31" s="1"/>
  <c r="AD14" i="30"/>
  <c r="AD2" i="30"/>
  <c r="AD6" i="30"/>
  <c r="R2" i="29"/>
  <c r="R14" i="29"/>
  <c r="R6" i="29"/>
  <c r="AA14" i="38"/>
  <c r="AA2" i="38"/>
  <c r="M14" i="37"/>
  <c r="M2" i="37"/>
  <c r="M6" i="37"/>
  <c r="H14" i="34"/>
  <c r="H2" i="34"/>
  <c r="AM1" i="34"/>
  <c r="K4" i="40" s="1"/>
  <c r="AE2" i="16"/>
  <c r="AE6" i="16"/>
  <c r="AE14" i="16"/>
  <c r="R14" i="32"/>
  <c r="R2" i="32"/>
  <c r="R6" i="32"/>
  <c r="U6" i="30"/>
  <c r="U2" i="30"/>
  <c r="U14" i="30"/>
  <c r="AE2" i="30"/>
  <c r="AE14" i="30"/>
  <c r="AE6" i="30"/>
  <c r="L2" i="35"/>
  <c r="AD14" i="29"/>
  <c r="AD2" i="29"/>
  <c r="AD6" i="29"/>
  <c r="M14" i="32"/>
  <c r="M2" i="32"/>
  <c r="AM1" i="30"/>
  <c r="G4" i="40" s="1"/>
  <c r="H2" i="30"/>
  <c r="H14" i="30"/>
  <c r="H6" i="30"/>
  <c r="L11" i="27"/>
  <c r="AK2" i="31"/>
  <c r="Z2" i="29"/>
  <c r="Z14" i="29"/>
  <c r="Z6" i="29"/>
  <c r="X2" i="33"/>
  <c r="X14" i="33"/>
  <c r="X6" i="33"/>
  <c r="Z14" i="37"/>
  <c r="Z6" i="37"/>
  <c r="Z2" i="37"/>
  <c r="AI6" i="30"/>
  <c r="AI2" i="30"/>
  <c r="AI14" i="30"/>
  <c r="X2" i="32"/>
  <c r="X6" i="32"/>
  <c r="X14" i="32"/>
  <c r="M14" i="16"/>
  <c r="M67" i="16"/>
  <c r="M2" i="16"/>
  <c r="M6" i="16"/>
  <c r="K14" i="31"/>
  <c r="K6" i="31"/>
  <c r="K2" i="31"/>
  <c r="W2" i="33"/>
  <c r="W14" i="33"/>
  <c r="W6" i="33"/>
  <c r="Y2" i="33"/>
  <c r="AM42" i="31"/>
  <c r="AM56" i="31" s="1"/>
  <c r="AG2" i="33"/>
  <c r="Y14" i="16"/>
  <c r="Y2" i="16"/>
  <c r="V2" i="16"/>
  <c r="V6" i="16"/>
  <c r="V14" i="16"/>
  <c r="I2" i="37"/>
  <c r="I6" i="37"/>
  <c r="I14" i="37"/>
  <c r="K2" i="16"/>
  <c r="J2" i="35"/>
  <c r="J6" i="35"/>
  <c r="J14" i="35"/>
  <c r="AE2" i="38"/>
  <c r="AE3" i="38"/>
  <c r="AE14" i="38"/>
  <c r="AE6" i="38"/>
  <c r="H2" i="37"/>
  <c r="AM1" i="37"/>
  <c r="N4" i="40" s="1"/>
  <c r="AL6" i="37"/>
  <c r="AM7" i="37"/>
  <c r="N8" i="40" s="1"/>
  <c r="W6" i="36"/>
  <c r="W2" i="36"/>
  <c r="W14" i="36"/>
  <c r="AE2" i="32"/>
  <c r="AE6" i="32"/>
  <c r="AE14" i="32"/>
  <c r="M14" i="29"/>
  <c r="M2" i="29"/>
  <c r="M6" i="29"/>
  <c r="AF14" i="32"/>
  <c r="AF2" i="32"/>
  <c r="AF6" i="32"/>
  <c r="V14" i="28"/>
  <c r="V2" i="28"/>
  <c r="Z2" i="36"/>
  <c r="Z14" i="36"/>
  <c r="Z6" i="36"/>
  <c r="X14" i="29"/>
  <c r="X2" i="29"/>
  <c r="X6" i="29"/>
  <c r="AL2" i="35"/>
  <c r="AL3" i="35"/>
  <c r="AL51" i="35" s="1"/>
  <c r="AB6" i="35"/>
  <c r="AB2" i="35"/>
  <c r="AB14" i="35"/>
  <c r="AH2" i="32"/>
  <c r="AL47" i="33"/>
  <c r="AL61" i="33" s="1"/>
  <c r="AL48" i="33"/>
  <c r="AL62" i="33" s="1"/>
  <c r="AL46" i="33"/>
  <c r="AL60" i="33" s="1"/>
  <c r="AL45" i="33"/>
  <c r="AL59" i="33" s="1"/>
  <c r="AL49" i="33"/>
  <c r="AL63" i="33" s="1"/>
  <c r="AL50" i="33"/>
  <c r="AL64" i="33" s="1"/>
  <c r="AL42" i="33"/>
  <c r="AL56" i="33" s="1"/>
  <c r="AL44" i="33"/>
  <c r="AL58" i="33" s="1"/>
  <c r="AL2" i="28"/>
  <c r="AL3" i="28"/>
  <c r="AL51" i="28" s="1"/>
  <c r="AD2" i="28"/>
  <c r="O2" i="16"/>
  <c r="O14" i="16"/>
  <c r="O6" i="16"/>
  <c r="AB14" i="36"/>
  <c r="AB2" i="36"/>
  <c r="AB6" i="36"/>
  <c r="Z2" i="34"/>
  <c r="Z14" i="34"/>
  <c r="Z6" i="34"/>
  <c r="T14" i="38"/>
  <c r="T2" i="38"/>
  <c r="AG2" i="34"/>
  <c r="AG6" i="34"/>
  <c r="AG14" i="34"/>
  <c r="Z2" i="32"/>
  <c r="Z14" i="32"/>
  <c r="Z6" i="32"/>
  <c r="V14" i="36"/>
  <c r="V6" i="36"/>
  <c r="V2" i="36"/>
  <c r="AD2" i="38"/>
  <c r="AD14" i="38"/>
  <c r="AD6" i="38"/>
  <c r="AH14" i="33"/>
  <c r="AH2" i="33"/>
  <c r="AH6" i="33"/>
  <c r="X2" i="30"/>
  <c r="X14" i="30"/>
  <c r="X6" i="30"/>
  <c r="AC14" i="38"/>
  <c r="AC2" i="38"/>
  <c r="AC6" i="38"/>
  <c r="AK14" i="30"/>
  <c r="N14" i="28"/>
  <c r="N2" i="28"/>
  <c r="N6" i="28"/>
  <c r="M14" i="38"/>
  <c r="M2" i="38"/>
  <c r="U2" i="36"/>
  <c r="U6" i="36"/>
  <c r="U14" i="36"/>
  <c r="U14" i="29"/>
  <c r="U2" i="29"/>
  <c r="L14" i="36"/>
  <c r="L2" i="36"/>
  <c r="L6" i="36"/>
  <c r="K2" i="37"/>
  <c r="K14" i="37"/>
  <c r="K6" i="37"/>
  <c r="AJ2" i="36"/>
  <c r="AJ6" i="36"/>
  <c r="AJ14" i="36"/>
  <c r="K14" i="35"/>
  <c r="K6" i="35"/>
  <c r="K2" i="35"/>
  <c r="J6" i="37"/>
  <c r="J2" i="37"/>
  <c r="J14" i="37"/>
  <c r="M14" i="28"/>
  <c r="M6" i="28"/>
  <c r="M2" i="28"/>
  <c r="AC14" i="31"/>
  <c r="AC2" i="31"/>
  <c r="AC6" i="31"/>
  <c r="H14" i="38"/>
  <c r="H2" i="38"/>
  <c r="AM1" i="38"/>
  <c r="O4" i="40" s="1"/>
  <c r="H6" i="38"/>
  <c r="AL2" i="16"/>
  <c r="AL14" i="16"/>
  <c r="AL6" i="16"/>
  <c r="AK2" i="28"/>
  <c r="AK3" i="28"/>
  <c r="AK51" i="28" s="1"/>
  <c r="Z2" i="35"/>
  <c r="W14" i="32"/>
  <c r="W6" i="32"/>
  <c r="W2" i="32"/>
  <c r="V2" i="34"/>
  <c r="AK2" i="35"/>
  <c r="AK6" i="35"/>
  <c r="AK14" i="35"/>
  <c r="N2" i="36"/>
  <c r="N6" i="36"/>
  <c r="N14" i="36"/>
  <c r="N14" i="35"/>
  <c r="N2" i="35"/>
  <c r="N6" i="35"/>
  <c r="K14" i="33"/>
  <c r="K2" i="33"/>
  <c r="AK14" i="37"/>
  <c r="AK2" i="37"/>
  <c r="J2" i="38"/>
  <c r="J6" i="38"/>
  <c r="J14" i="38"/>
  <c r="AL3" i="30"/>
  <c r="AL51" i="30" s="1"/>
  <c r="Y2" i="32"/>
  <c r="Y6" i="32"/>
  <c r="Y14" i="32"/>
  <c r="AA2" i="37"/>
  <c r="AA14" i="37"/>
  <c r="AA6" i="37"/>
  <c r="K2" i="30"/>
  <c r="X14" i="34"/>
  <c r="X6" i="34"/>
  <c r="X2" i="34"/>
  <c r="H2" i="29"/>
  <c r="AM1" i="29"/>
  <c r="F4" i="40" s="1"/>
  <c r="P2" i="33"/>
  <c r="P14" i="33"/>
  <c r="P6" i="33"/>
  <c r="Z2" i="28"/>
  <c r="Z6" i="28"/>
  <c r="Z14" i="28"/>
  <c r="AJ2" i="28"/>
  <c r="AA14" i="30"/>
  <c r="AA6" i="30"/>
  <c r="AA2" i="30"/>
  <c r="AG2" i="37"/>
  <c r="AG6" i="37"/>
  <c r="AG14" i="37"/>
  <c r="P2" i="34"/>
  <c r="AD6" i="32"/>
  <c r="AD2" i="32"/>
  <c r="AD14" i="32"/>
  <c r="N14" i="38"/>
  <c r="N2" i="38"/>
  <c r="N6" i="38"/>
  <c r="AK2" i="33"/>
  <c r="AK14" i="33"/>
  <c r="J2" i="32"/>
  <c r="J14" i="32"/>
  <c r="J6" i="32"/>
  <c r="U14" i="37"/>
  <c r="U2" i="37"/>
  <c r="I2" i="33"/>
  <c r="I14" i="33"/>
  <c r="I6" i="33"/>
  <c r="AL14" i="33"/>
  <c r="AL50" i="29"/>
  <c r="AL64" i="29" s="1"/>
  <c r="AL47" i="29"/>
  <c r="AL61" i="29" s="1"/>
  <c r="AL49" i="29"/>
  <c r="AL63" i="29" s="1"/>
  <c r="AL42" i="29"/>
  <c r="AL56" i="29" s="1"/>
  <c r="AL44" i="29"/>
  <c r="AL58" i="29" s="1"/>
  <c r="AL45" i="29"/>
  <c r="AL59" i="29" s="1"/>
  <c r="AL48" i="29"/>
  <c r="AL62" i="29" s="1"/>
  <c r="AL46" i="29"/>
  <c r="AL60" i="29" s="1"/>
  <c r="X2" i="36"/>
  <c r="X6" i="37"/>
  <c r="X2" i="37"/>
  <c r="X14" i="37"/>
  <c r="S2" i="16"/>
  <c r="AC2" i="34"/>
  <c r="AG2" i="38"/>
  <c r="AF2" i="36"/>
  <c r="J2" i="34"/>
  <c r="J14" i="34"/>
  <c r="J6" i="34"/>
  <c r="Q4" i="30"/>
  <c r="Q43" i="30"/>
  <c r="Q57" i="30" s="1"/>
  <c r="Q15" i="30"/>
  <c r="M6" i="36"/>
  <c r="M2" i="36"/>
  <c r="M14" i="36"/>
  <c r="AF2" i="33"/>
  <c r="AI2" i="33"/>
  <c r="AI6" i="33"/>
  <c r="AI14" i="33"/>
  <c r="P2" i="37"/>
  <c r="P14" i="37"/>
  <c r="P6" i="37"/>
  <c r="AF2" i="37"/>
  <c r="AF6" i="37"/>
  <c r="AF14" i="37"/>
  <c r="AJ14" i="38"/>
  <c r="AJ2" i="38"/>
  <c r="AJ6" i="38"/>
  <c r="X2" i="31"/>
  <c r="J2" i="30"/>
  <c r="J14" i="30"/>
  <c r="J6" i="30"/>
  <c r="V2" i="32"/>
  <c r="V6" i="32"/>
  <c r="V14" i="32"/>
  <c r="X6" i="16"/>
  <c r="X2" i="16"/>
  <c r="X14" i="16"/>
  <c r="H2" i="32"/>
  <c r="H6" i="32"/>
  <c r="H14" i="32"/>
  <c r="Q14" i="35"/>
  <c r="Q2" i="35"/>
  <c r="Q6" i="35"/>
  <c r="AG14" i="35"/>
  <c r="AG2" i="35"/>
  <c r="K2" i="36"/>
  <c r="T6" i="37"/>
  <c r="T2" i="37"/>
  <c r="T14" i="37"/>
  <c r="J2" i="29"/>
  <c r="J14" i="29"/>
  <c r="J6" i="29"/>
  <c r="AJ2" i="33"/>
  <c r="AJ14" i="33"/>
  <c r="AJ6" i="33"/>
  <c r="AJ2" i="30"/>
  <c r="AJ14" i="30"/>
  <c r="AJ6" i="30"/>
  <c r="AC2" i="16"/>
  <c r="AC6" i="16"/>
  <c r="AC14" i="16"/>
  <c r="AD2" i="34"/>
  <c r="H2" i="28"/>
  <c r="AM1" i="28"/>
  <c r="E4" i="40" s="1"/>
  <c r="Y2" i="35"/>
  <c r="Y6" i="35"/>
  <c r="Y14" i="35"/>
  <c r="AB2" i="29"/>
  <c r="Y2" i="29"/>
  <c r="Y14" i="29"/>
  <c r="Y6" i="29"/>
  <c r="AB14" i="33"/>
  <c r="AB2" i="33"/>
  <c r="AB6" i="33"/>
  <c r="AM47" i="31"/>
  <c r="AM61" i="31" s="1"/>
  <c r="AE14" i="33"/>
  <c r="AE2" i="33"/>
  <c r="AE6" i="33"/>
  <c r="Q2" i="31"/>
  <c r="AM48" i="28"/>
  <c r="AM62" i="28" s="1"/>
  <c r="Z2" i="30"/>
  <c r="O6" i="35"/>
  <c r="O2" i="35"/>
  <c r="O14" i="35"/>
  <c r="T2" i="32"/>
  <c r="AC2" i="29"/>
  <c r="N2" i="29"/>
  <c r="P2" i="29"/>
  <c r="P14" i="29"/>
  <c r="P6" i="29"/>
  <c r="AK2" i="38"/>
  <c r="AK14" i="38"/>
  <c r="L2" i="32"/>
  <c r="L6" i="32"/>
  <c r="L14" i="32"/>
  <c r="Z14" i="38"/>
  <c r="Z2" i="38"/>
  <c r="S6" i="36"/>
  <c r="S2" i="36"/>
  <c r="S14" i="36"/>
  <c r="Y14" i="30"/>
  <c r="Y2" i="30"/>
  <c r="AG14" i="36"/>
  <c r="AG6" i="36"/>
  <c r="AG2" i="36"/>
  <c r="AC14" i="35"/>
  <c r="AC6" i="35"/>
  <c r="AC2" i="35"/>
  <c r="I14" i="30"/>
  <c r="I2" i="30"/>
  <c r="I6" i="30"/>
  <c r="T14" i="33"/>
  <c r="T2" i="33"/>
  <c r="T6" i="33"/>
  <c r="AI2" i="38"/>
  <c r="AI14" i="38"/>
  <c r="AI6" i="38"/>
  <c r="R2" i="30"/>
  <c r="AK14" i="16"/>
  <c r="AK2" i="16"/>
  <c r="AK6" i="16"/>
  <c r="H2" i="36"/>
  <c r="H6" i="36"/>
  <c r="AM1" i="36"/>
  <c r="M4" i="40" s="1"/>
  <c r="H14" i="36"/>
  <c r="Q2" i="33"/>
  <c r="Q6" i="33"/>
  <c r="Q14" i="33"/>
  <c r="AI14" i="32"/>
  <c r="AI2" i="32"/>
  <c r="U2" i="33"/>
  <c r="U14" i="33"/>
  <c r="U6" i="33"/>
  <c r="L14" i="30"/>
  <c r="L2" i="30"/>
  <c r="AF2" i="30"/>
  <c r="AF2" i="29"/>
  <c r="AF6" i="29"/>
  <c r="AF14" i="29"/>
  <c r="AM49" i="28"/>
  <c r="AM63" i="28" s="1"/>
  <c r="O2" i="28"/>
  <c r="S2" i="28"/>
  <c r="S6" i="28"/>
  <c r="S14" i="28"/>
  <c r="AH2" i="34"/>
  <c r="AH6" i="34"/>
  <c r="AH14" i="34"/>
  <c r="H2" i="35"/>
  <c r="H6" i="35"/>
  <c r="AM1" i="35"/>
  <c r="L4" i="40" s="1"/>
  <c r="H14" i="35"/>
  <c r="W14" i="37"/>
  <c r="W6" i="37"/>
  <c r="W2" i="37"/>
  <c r="W14" i="29"/>
  <c r="W2" i="29"/>
  <c r="W6" i="29"/>
  <c r="L12" i="27"/>
  <c r="AH38" i="26" a="1"/>
  <c r="AH38" i="26" s="1"/>
  <c r="S15" i="30" l="1"/>
  <c r="S4" i="30"/>
  <c r="S3" i="30" s="1"/>
  <c r="AE2" i="31"/>
  <c r="AL4" i="34"/>
  <c r="AL3" i="34" s="1"/>
  <c r="AL43" i="34"/>
  <c r="AL57" i="34" s="1"/>
  <c r="AM61" i="34"/>
  <c r="K49" i="40" s="1"/>
  <c r="K32" i="40"/>
  <c r="AM58" i="34"/>
  <c r="K46" i="40" s="1"/>
  <c r="AI2" i="31"/>
  <c r="AI54" i="31"/>
  <c r="AI67" i="31" s="1"/>
  <c r="H32" i="40"/>
  <c r="AM58" i="31"/>
  <c r="H46" i="40" s="1"/>
  <c r="H53" i="16"/>
  <c r="H66" i="16" s="1"/>
  <c r="P6" i="31"/>
  <c r="P54" i="31"/>
  <c r="P67" i="31" s="1"/>
  <c r="K36" i="40"/>
  <c r="AM62" i="34"/>
  <c r="K50" i="40" s="1"/>
  <c r="AM63" i="31"/>
  <c r="H51" i="40" s="1"/>
  <c r="AM60" i="31"/>
  <c r="H48" i="40" s="1"/>
  <c r="O2" i="32"/>
  <c r="Z2" i="31"/>
  <c r="Z54" i="31"/>
  <c r="Z67" i="31" s="1"/>
  <c r="AD2" i="31"/>
  <c r="AD54" i="31"/>
  <c r="AD67" i="31" s="1"/>
  <c r="T2" i="31"/>
  <c r="T54" i="31"/>
  <c r="T67" i="31" s="1"/>
  <c r="AM63" i="34"/>
  <c r="K51" i="40" s="1"/>
  <c r="AJ2" i="31"/>
  <c r="E38" i="40"/>
  <c r="AM64" i="28"/>
  <c r="E52" i="40" s="1"/>
  <c r="AM59" i="28"/>
  <c r="E47" i="40" s="1"/>
  <c r="AM42" i="36"/>
  <c r="AM42" i="33"/>
  <c r="AM56" i="33" s="1"/>
  <c r="J44" i="40" s="1"/>
  <c r="AM49" i="36"/>
  <c r="AM63" i="36" s="1"/>
  <c r="AM50" i="36"/>
  <c r="AM64" i="36" s="1"/>
  <c r="AM42" i="32"/>
  <c r="I30" i="40" s="1"/>
  <c r="AM45" i="30"/>
  <c r="AM59" i="30" s="1"/>
  <c r="G47" i="40" s="1"/>
  <c r="AL72" i="32"/>
  <c r="AJ14" i="31"/>
  <c r="AJ4" i="31" s="1"/>
  <c r="AJ3" i="31" s="1"/>
  <c r="AJ6" i="31"/>
  <c r="AL53" i="32"/>
  <c r="AL66" i="32" s="1"/>
  <c r="T6" i="31"/>
  <c r="AM44" i="32"/>
  <c r="T14" i="31"/>
  <c r="T4" i="31" s="1"/>
  <c r="AM47" i="32"/>
  <c r="AM46" i="32"/>
  <c r="AM44" i="36"/>
  <c r="AM48" i="32"/>
  <c r="AM45" i="36"/>
  <c r="AM45" i="32"/>
  <c r="AL26" i="32"/>
  <c r="AL55" i="32" s="1"/>
  <c r="AL68" i="32" s="1"/>
  <c r="Z6" i="31"/>
  <c r="AM50" i="32"/>
  <c r="Z14" i="31"/>
  <c r="Z4" i="31" s="1"/>
  <c r="Z3" i="31" s="1"/>
  <c r="AM49" i="32"/>
  <c r="P14" i="31"/>
  <c r="P15" i="31" s="1"/>
  <c r="P2" i="31"/>
  <c r="AM47" i="36"/>
  <c r="AM46" i="36"/>
  <c r="AI14" i="31"/>
  <c r="AI43" i="31" s="1"/>
  <c r="AI57" i="31" s="1"/>
  <c r="AJ4" i="28"/>
  <c r="AJ43" i="28"/>
  <c r="AJ57" i="28" s="1"/>
  <c r="AJ15" i="28"/>
  <c r="AI6" i="31"/>
  <c r="AK28" i="28"/>
  <c r="AK27" i="28"/>
  <c r="K37" i="40"/>
  <c r="AL15" i="36"/>
  <c r="AL39" i="32"/>
  <c r="AL4" i="36"/>
  <c r="AL3" i="36" s="1"/>
  <c r="P8" i="40"/>
  <c r="AM50" i="33"/>
  <c r="AM42" i="37"/>
  <c r="AM47" i="30"/>
  <c r="E33" i="40"/>
  <c r="AL43" i="29"/>
  <c r="AL57" i="29" s="1"/>
  <c r="AL15" i="29"/>
  <c r="AL26" i="35"/>
  <c r="AL55" i="35" s="1"/>
  <c r="AL68" i="35" s="1"/>
  <c r="AL69" i="35" s="1"/>
  <c r="AL70" i="35" s="1" a="1"/>
  <c r="AL70" i="35" s="1"/>
  <c r="AL15" i="31"/>
  <c r="T15" i="30"/>
  <c r="T43" i="30"/>
  <c r="T57" i="30" s="1"/>
  <c r="AL43" i="31"/>
  <c r="AL57" i="31" s="1"/>
  <c r="AD6" i="31"/>
  <c r="AM48" i="38"/>
  <c r="K35" i="40"/>
  <c r="AM1" i="31"/>
  <c r="H4" i="40" s="1"/>
  <c r="P4" i="40" s="1"/>
  <c r="AM47" i="38"/>
  <c r="AD14" i="31"/>
  <c r="AD43" i="31" s="1"/>
  <c r="AD57" i="31" s="1"/>
  <c r="AM46" i="16"/>
  <c r="AM49" i="30"/>
  <c r="H37" i="40"/>
  <c r="AM50" i="38"/>
  <c r="M10" i="27"/>
  <c r="M11" i="27" s="1"/>
  <c r="M12" i="27" s="1"/>
  <c r="M13" i="27" s="1"/>
  <c r="M14" i="27" s="1"/>
  <c r="M15" i="27" s="1"/>
  <c r="M16" i="27" s="1"/>
  <c r="M17" i="27" s="1"/>
  <c r="M18" i="27" s="1"/>
  <c r="M19" i="27" s="1"/>
  <c r="M20" i="27" s="1"/>
  <c r="M21" i="27" s="1"/>
  <c r="I39" i="16"/>
  <c r="I53" i="16"/>
  <c r="I66" i="16" s="1"/>
  <c r="AM49" i="38"/>
  <c r="AL3" i="31"/>
  <c r="Q3" i="30"/>
  <c r="AL53" i="37"/>
  <c r="AL66" i="37" s="1"/>
  <c r="AL41" i="32"/>
  <c r="AM48" i="37"/>
  <c r="AM44" i="38"/>
  <c r="P15" i="34"/>
  <c r="P4" i="34"/>
  <c r="P3" i="34" s="1"/>
  <c r="P43" i="34"/>
  <c r="P57" i="34" s="1"/>
  <c r="AJ43" i="29"/>
  <c r="AJ57" i="29" s="1"/>
  <c r="AJ15" i="29"/>
  <c r="AJ4" i="29"/>
  <c r="AC15" i="28"/>
  <c r="AC43" i="28"/>
  <c r="AC57" i="28" s="1"/>
  <c r="AC4" i="28"/>
  <c r="AC3" i="28" s="1"/>
  <c r="AM49" i="16"/>
  <c r="AM63" i="16" s="1"/>
  <c r="N15" i="32"/>
  <c r="N43" i="32"/>
  <c r="N57" i="32" s="1"/>
  <c r="N4" i="32"/>
  <c r="N3" i="32" s="1"/>
  <c r="AB4" i="32"/>
  <c r="AB3" i="32" s="1"/>
  <c r="AB15" i="32"/>
  <c r="AB43" i="32"/>
  <c r="AB57" i="32" s="1"/>
  <c r="AM50" i="37"/>
  <c r="AM48" i="30"/>
  <c r="AM44" i="29"/>
  <c r="AM50" i="29"/>
  <c r="N15" i="29"/>
  <c r="N43" i="29"/>
  <c r="N57" i="29" s="1"/>
  <c r="N4" i="29"/>
  <c r="AC4" i="37"/>
  <c r="AC15" i="37"/>
  <c r="AC43" i="37"/>
  <c r="AC57" i="37" s="1"/>
  <c r="L30" i="40"/>
  <c r="L44" i="40"/>
  <c r="AC15" i="34"/>
  <c r="AC43" i="34"/>
  <c r="AC57" i="34" s="1"/>
  <c r="AC4" i="34"/>
  <c r="L50" i="40"/>
  <c r="L36" i="40"/>
  <c r="Q15" i="31"/>
  <c r="Q43" i="31"/>
  <c r="Q57" i="31" s="1"/>
  <c r="Q4" i="31"/>
  <c r="L15" i="35"/>
  <c r="L4" i="35"/>
  <c r="L43" i="35"/>
  <c r="L57" i="35" s="1"/>
  <c r="R4" i="36"/>
  <c r="R43" i="36"/>
  <c r="R57" i="36" s="1"/>
  <c r="R15" i="36"/>
  <c r="L32" i="40"/>
  <c r="L46" i="40"/>
  <c r="AM50" i="16"/>
  <c r="AM64" i="16" s="1"/>
  <c r="L33" i="40"/>
  <c r="L47" i="40"/>
  <c r="AB4" i="29"/>
  <c r="AB15" i="29"/>
  <c r="AB43" i="29"/>
  <c r="AB57" i="29" s="1"/>
  <c r="J43" i="31"/>
  <c r="J57" i="31" s="1"/>
  <c r="J15" i="31"/>
  <c r="J4" i="31"/>
  <c r="V43" i="34"/>
  <c r="V57" i="34" s="1"/>
  <c r="V4" i="34"/>
  <c r="V15" i="34"/>
  <c r="AM47" i="37"/>
  <c r="AM42" i="30"/>
  <c r="S43" i="33"/>
  <c r="S57" i="33" s="1"/>
  <c r="S4" i="33"/>
  <c r="S15" i="33"/>
  <c r="H4" i="29"/>
  <c r="H43" i="29"/>
  <c r="H57" i="29" s="1"/>
  <c r="H15" i="29"/>
  <c r="AH4" i="35"/>
  <c r="AH43" i="35"/>
  <c r="AH57" i="35" s="1"/>
  <c r="AH15" i="35"/>
  <c r="AH43" i="32"/>
  <c r="AH57" i="32" s="1"/>
  <c r="AH4" i="32"/>
  <c r="AH15" i="32"/>
  <c r="L43" i="33"/>
  <c r="L57" i="33" s="1"/>
  <c r="L4" i="33"/>
  <c r="L15" i="33"/>
  <c r="K15" i="16"/>
  <c r="K4" i="16"/>
  <c r="K43" i="16"/>
  <c r="K57" i="16" s="1"/>
  <c r="AM47" i="29"/>
  <c r="AC4" i="29"/>
  <c r="AC43" i="29"/>
  <c r="AC57" i="29" s="1"/>
  <c r="AC15" i="29"/>
  <c r="AD15" i="34"/>
  <c r="AD4" i="34"/>
  <c r="AD43" i="34"/>
  <c r="AD57" i="34" s="1"/>
  <c r="W4" i="31"/>
  <c r="W43" i="31"/>
  <c r="W57" i="31" s="1"/>
  <c r="W15" i="31"/>
  <c r="S4" i="16"/>
  <c r="S43" i="16"/>
  <c r="S57" i="16" s="1"/>
  <c r="S15" i="16"/>
  <c r="L52" i="40"/>
  <c r="L38" i="40"/>
  <c r="L35" i="40"/>
  <c r="L49" i="40"/>
  <c r="AM45" i="16"/>
  <c r="AM59" i="16" s="1"/>
  <c r="H43" i="28"/>
  <c r="H57" i="28" s="1"/>
  <c r="H4" i="28"/>
  <c r="H15" i="28"/>
  <c r="V4" i="37"/>
  <c r="V15" i="37"/>
  <c r="V43" i="37"/>
  <c r="V57" i="37" s="1"/>
  <c r="H34" i="40"/>
  <c r="Z4" i="35"/>
  <c r="Z15" i="35"/>
  <c r="Z43" i="35"/>
  <c r="Z57" i="35" s="1"/>
  <c r="AD4" i="28"/>
  <c r="AD15" i="28"/>
  <c r="AD43" i="28"/>
  <c r="AD57" i="28" s="1"/>
  <c r="R15" i="16"/>
  <c r="R4" i="16"/>
  <c r="R43" i="16"/>
  <c r="R57" i="16" s="1"/>
  <c r="N43" i="37"/>
  <c r="N57" i="37" s="1"/>
  <c r="N4" i="37"/>
  <c r="N15" i="37"/>
  <c r="AM42" i="16"/>
  <c r="AM56" i="16" s="1"/>
  <c r="AM44" i="16"/>
  <c r="AM58" i="16" s="1"/>
  <c r="AG43" i="33"/>
  <c r="AG57" i="33" s="1"/>
  <c r="AG4" i="33"/>
  <c r="AG15" i="33"/>
  <c r="AF4" i="33"/>
  <c r="AF43" i="33"/>
  <c r="AF57" i="33" s="1"/>
  <c r="AF15" i="33"/>
  <c r="AE15" i="36"/>
  <c r="AE43" i="36"/>
  <c r="AE57" i="36" s="1"/>
  <c r="AE4" i="36"/>
  <c r="Y4" i="33"/>
  <c r="Y15" i="33"/>
  <c r="Y43" i="33"/>
  <c r="Y57" i="33" s="1"/>
  <c r="AL26" i="36"/>
  <c r="T43" i="32"/>
  <c r="T57" i="32" s="1"/>
  <c r="T4" i="32"/>
  <c r="T15" i="32"/>
  <c r="S15" i="35"/>
  <c r="S43" i="35"/>
  <c r="S57" i="35" s="1"/>
  <c r="S4" i="35"/>
  <c r="X43" i="36"/>
  <c r="X57" i="36" s="1"/>
  <c r="X4" i="36"/>
  <c r="X15" i="36"/>
  <c r="K43" i="30"/>
  <c r="K57" i="30" s="1"/>
  <c r="K4" i="30"/>
  <c r="K15" i="30"/>
  <c r="Z15" i="33"/>
  <c r="Z4" i="33"/>
  <c r="Z43" i="33"/>
  <c r="Z57" i="33" s="1"/>
  <c r="AM47" i="16"/>
  <c r="AM61" i="16" s="1"/>
  <c r="AE15" i="31"/>
  <c r="AE4" i="31"/>
  <c r="AE43" i="31"/>
  <c r="AE57" i="31" s="1"/>
  <c r="AM48" i="16"/>
  <c r="AM62" i="16" s="1"/>
  <c r="AJ15" i="34"/>
  <c r="AJ4" i="34"/>
  <c r="AJ43" i="34"/>
  <c r="AJ57" i="34" s="1"/>
  <c r="O4" i="28"/>
  <c r="O43" i="28"/>
  <c r="O57" i="28" s="1"/>
  <c r="O15" i="28"/>
  <c r="AH4" i="38"/>
  <c r="AH43" i="38"/>
  <c r="AH57" i="38" s="1"/>
  <c r="AH15" i="38"/>
  <c r="L34" i="40"/>
  <c r="L48" i="40"/>
  <c r="AM2" i="30"/>
  <c r="G5" i="40" s="1"/>
  <c r="AF15" i="30"/>
  <c r="AF4" i="30"/>
  <c r="AF43" i="30"/>
  <c r="AF57" i="30" s="1"/>
  <c r="S26" i="30"/>
  <c r="L37" i="40"/>
  <c r="L51" i="40"/>
  <c r="H4" i="37"/>
  <c r="H43" i="37"/>
  <c r="H57" i="37" s="1"/>
  <c r="H15" i="37"/>
  <c r="AA43" i="35"/>
  <c r="AA57" i="35" s="1"/>
  <c r="AA4" i="35"/>
  <c r="AA15" i="35"/>
  <c r="AF43" i="36"/>
  <c r="AF57" i="36" s="1"/>
  <c r="AF4" i="36"/>
  <c r="AF15" i="36"/>
  <c r="AK15" i="31"/>
  <c r="AK43" i="31"/>
  <c r="AK57" i="31" s="1"/>
  <c r="AK4" i="31"/>
  <c r="AM46" i="30"/>
  <c r="Z15" i="30"/>
  <c r="Z43" i="30"/>
  <c r="Z57" i="30" s="1"/>
  <c r="Z4" i="30"/>
  <c r="Z3" i="30" s="1"/>
  <c r="K4" i="36"/>
  <c r="K43" i="36"/>
  <c r="K57" i="36" s="1"/>
  <c r="K15" i="36"/>
  <c r="AG15" i="38"/>
  <c r="AG43" i="38"/>
  <c r="AG57" i="38" s="1"/>
  <c r="AG4" i="38"/>
  <c r="AG52" i="38" s="1"/>
  <c r="AG40" i="38" s="1"/>
  <c r="R15" i="30"/>
  <c r="R43" i="30"/>
  <c r="R57" i="30" s="1"/>
  <c r="R4" i="30"/>
  <c r="P15" i="28"/>
  <c r="P4" i="28"/>
  <c r="P43" i="28"/>
  <c r="P57" i="28" s="1"/>
  <c r="X15" i="31"/>
  <c r="X43" i="31"/>
  <c r="X57" i="31" s="1"/>
  <c r="X4" i="31"/>
  <c r="J4" i="36"/>
  <c r="J43" i="36"/>
  <c r="J57" i="36" s="1"/>
  <c r="J15" i="36"/>
  <c r="R15" i="33"/>
  <c r="R4" i="33"/>
  <c r="R3" i="33" s="1"/>
  <c r="R43" i="33"/>
  <c r="R57" i="33" s="1"/>
  <c r="W4" i="28"/>
  <c r="W43" i="28"/>
  <c r="W57" i="28" s="1"/>
  <c r="W15" i="28"/>
  <c r="S4" i="36"/>
  <c r="S3" i="36" s="1"/>
  <c r="S43" i="36"/>
  <c r="S57" i="36" s="1"/>
  <c r="S15" i="36"/>
  <c r="AK4" i="33"/>
  <c r="AK3" i="33" s="1"/>
  <c r="AK43" i="33"/>
  <c r="AK57" i="33" s="1"/>
  <c r="AK15" i="33"/>
  <c r="X4" i="34"/>
  <c r="X3" i="34" s="1"/>
  <c r="X15" i="34"/>
  <c r="X43" i="34"/>
  <c r="X57" i="34" s="1"/>
  <c r="X72" i="30"/>
  <c r="X41" i="30"/>
  <c r="AM44" i="33"/>
  <c r="AM58" i="33" s="1"/>
  <c r="Q4" i="38"/>
  <c r="Q3" i="38" s="1"/>
  <c r="Q43" i="38"/>
  <c r="Q57" i="38" s="1"/>
  <c r="Q15" i="38"/>
  <c r="AI4" i="35"/>
  <c r="AI3" i="35" s="1"/>
  <c r="AI43" i="35"/>
  <c r="AI57" i="35" s="1"/>
  <c r="AI15" i="35"/>
  <c r="L72" i="34"/>
  <c r="L41" i="34"/>
  <c r="E34" i="40"/>
  <c r="E48" i="40"/>
  <c r="P72" i="35"/>
  <c r="P41" i="35"/>
  <c r="AD72" i="16"/>
  <c r="AD41" i="16"/>
  <c r="K30" i="40"/>
  <c r="K44" i="40"/>
  <c r="R4" i="37"/>
  <c r="R3" i="37" s="1"/>
  <c r="R43" i="37"/>
  <c r="R57" i="37" s="1"/>
  <c r="R15" i="37"/>
  <c r="Q15" i="33"/>
  <c r="Q43" i="33"/>
  <c r="Q57" i="33" s="1"/>
  <c r="Q4" i="33"/>
  <c r="Q3" i="33" s="1"/>
  <c r="Y4" i="32"/>
  <c r="Y43" i="32"/>
  <c r="Y57" i="32" s="1"/>
  <c r="Y15" i="32"/>
  <c r="X4" i="30"/>
  <c r="X3" i="30" s="1"/>
  <c r="X15" i="30"/>
  <c r="X43" i="30"/>
  <c r="X57" i="30" s="1"/>
  <c r="M15" i="16"/>
  <c r="M43" i="16"/>
  <c r="M57" i="16" s="1"/>
  <c r="M4" i="16"/>
  <c r="M3" i="16" s="1"/>
  <c r="V41" i="30"/>
  <c r="V72" i="30"/>
  <c r="I43" i="32"/>
  <c r="I57" i="32" s="1"/>
  <c r="I4" i="32"/>
  <c r="I3" i="32" s="1"/>
  <c r="I15" i="32"/>
  <c r="N72" i="34"/>
  <c r="N41" i="34"/>
  <c r="I41" i="16"/>
  <c r="I72" i="16"/>
  <c r="U43" i="31"/>
  <c r="U57" i="31" s="1"/>
  <c r="U4" i="31"/>
  <c r="U3" i="31" s="1"/>
  <c r="U15" i="31"/>
  <c r="AK15" i="29"/>
  <c r="AK4" i="29"/>
  <c r="AK3" i="29" s="1"/>
  <c r="AK43" i="29"/>
  <c r="AK57" i="29" s="1"/>
  <c r="I72" i="36"/>
  <c r="I41" i="36"/>
  <c r="AJ4" i="35"/>
  <c r="AJ3" i="35" s="1"/>
  <c r="AJ15" i="35"/>
  <c r="AJ43" i="35"/>
  <c r="AJ57" i="35" s="1"/>
  <c r="Y43" i="36"/>
  <c r="Y57" i="36" s="1"/>
  <c r="Y4" i="36"/>
  <c r="Y3" i="36" s="1"/>
  <c r="Y15" i="36"/>
  <c r="U4" i="34"/>
  <c r="U3" i="34" s="1"/>
  <c r="U43" i="34"/>
  <c r="U57" i="34" s="1"/>
  <c r="U15" i="34"/>
  <c r="AM2" i="36"/>
  <c r="M5" i="40" s="1"/>
  <c r="AC43" i="35"/>
  <c r="AC57" i="35" s="1"/>
  <c r="AC4" i="35"/>
  <c r="AC15" i="35"/>
  <c r="O43" i="35"/>
  <c r="O57" i="35" s="1"/>
  <c r="O4" i="35"/>
  <c r="O15" i="35"/>
  <c r="E50" i="40"/>
  <c r="E36" i="40"/>
  <c r="AE72" i="33"/>
  <c r="AE41" i="33"/>
  <c r="AJ4" i="30"/>
  <c r="AJ43" i="30"/>
  <c r="AJ57" i="30" s="1"/>
  <c r="AJ15" i="30"/>
  <c r="T43" i="37"/>
  <c r="T57" i="37" s="1"/>
  <c r="T4" i="37"/>
  <c r="T15" i="37"/>
  <c r="Q4" i="35"/>
  <c r="Q43" i="35"/>
  <c r="Q57" i="35" s="1"/>
  <c r="Q15" i="35"/>
  <c r="I4" i="33"/>
  <c r="I43" i="33"/>
  <c r="I57" i="33" s="1"/>
  <c r="I15" i="33"/>
  <c r="J4" i="32"/>
  <c r="J43" i="32"/>
  <c r="J57" i="32" s="1"/>
  <c r="J15" i="32"/>
  <c r="AA43" i="30"/>
  <c r="AA57" i="30" s="1"/>
  <c r="AA4" i="30"/>
  <c r="AA15" i="30"/>
  <c r="J4" i="38"/>
  <c r="J43" i="38"/>
  <c r="J57" i="38" s="1"/>
  <c r="J15" i="38"/>
  <c r="N72" i="36"/>
  <c r="N41" i="36"/>
  <c r="AL4" i="16"/>
  <c r="AL3" i="16" s="1"/>
  <c r="AL43" i="16"/>
  <c r="AL57" i="16" s="1"/>
  <c r="AL15" i="16"/>
  <c r="AM14" i="38"/>
  <c r="O12" i="40" s="1"/>
  <c r="H15" i="38"/>
  <c r="H4" i="38"/>
  <c r="H43" i="38"/>
  <c r="H57" i="38" s="1"/>
  <c r="U4" i="36"/>
  <c r="U43" i="36"/>
  <c r="U57" i="36" s="1"/>
  <c r="U15" i="36"/>
  <c r="T15" i="38"/>
  <c r="T43" i="38"/>
  <c r="T57" i="38" s="1"/>
  <c r="T4" i="38"/>
  <c r="AL72" i="35"/>
  <c r="AL41" i="35"/>
  <c r="AM2" i="37"/>
  <c r="N5" i="40" s="1"/>
  <c r="H44" i="40"/>
  <c r="H30" i="40"/>
  <c r="X4" i="32"/>
  <c r="X43" i="32"/>
  <c r="X57" i="32" s="1"/>
  <c r="X15" i="32"/>
  <c r="R43" i="29"/>
  <c r="R57" i="29" s="1"/>
  <c r="R4" i="29"/>
  <c r="R15" i="29"/>
  <c r="AD4" i="30"/>
  <c r="AD43" i="30"/>
  <c r="AD57" i="30" s="1"/>
  <c r="AD15" i="30"/>
  <c r="AC4" i="36"/>
  <c r="AC3" i="36" s="1"/>
  <c r="AC43" i="36"/>
  <c r="AC57" i="36" s="1"/>
  <c r="AC15" i="36"/>
  <c r="AL4" i="38"/>
  <c r="AL43" i="38"/>
  <c r="AL57" i="38" s="1"/>
  <c r="AL15" i="38"/>
  <c r="K43" i="34"/>
  <c r="K57" i="34" s="1"/>
  <c r="K15" i="34"/>
  <c r="K4" i="34"/>
  <c r="O4" i="31"/>
  <c r="O43" i="31"/>
  <c r="O57" i="31" s="1"/>
  <c r="O15" i="31"/>
  <c r="AI43" i="28"/>
  <c r="AI57" i="28" s="1"/>
  <c r="AI4" i="28"/>
  <c r="AI15" i="28"/>
  <c r="AF4" i="28"/>
  <c r="AF43" i="28"/>
  <c r="AF57" i="28" s="1"/>
  <c r="AF15" i="28"/>
  <c r="AH72" i="28"/>
  <c r="AH41" i="28"/>
  <c r="O15" i="37"/>
  <c r="O4" i="37"/>
  <c r="O43" i="37"/>
  <c r="O57" i="37" s="1"/>
  <c r="Q43" i="36"/>
  <c r="Q57" i="36" s="1"/>
  <c r="Q4" i="36"/>
  <c r="Q15" i="36"/>
  <c r="Z15" i="16"/>
  <c r="Z4" i="16"/>
  <c r="Z3" i="16" s="1"/>
  <c r="Z43" i="16"/>
  <c r="Z57" i="16" s="1"/>
  <c r="AE72" i="28"/>
  <c r="AE41" i="28"/>
  <c r="K4" i="29"/>
  <c r="K43" i="29"/>
  <c r="K57" i="29" s="1"/>
  <c r="K15" i="29"/>
  <c r="H41" i="33"/>
  <c r="H72" i="33"/>
  <c r="AA4" i="36"/>
  <c r="AA43" i="36"/>
  <c r="AA57" i="36" s="1"/>
  <c r="AA15" i="36"/>
  <c r="I43" i="36"/>
  <c r="I57" i="36" s="1"/>
  <c r="I15" i="36"/>
  <c r="I4" i="36"/>
  <c r="I3" i="36" s="1"/>
  <c r="AG15" i="16"/>
  <c r="AG4" i="16"/>
  <c r="AG43" i="16"/>
  <c r="AG57" i="16" s="1"/>
  <c r="AH72" i="29"/>
  <c r="AH41" i="29"/>
  <c r="E44" i="40"/>
  <c r="E30" i="40"/>
  <c r="AM50" i="30"/>
  <c r="AM64" i="30" s="1"/>
  <c r="AI15" i="29"/>
  <c r="AI43" i="29"/>
  <c r="AI57" i="29" s="1"/>
  <c r="AI4" i="29"/>
  <c r="Q4" i="32"/>
  <c r="Q43" i="32"/>
  <c r="Q57" i="32" s="1"/>
  <c r="Q15" i="32"/>
  <c r="P72" i="16"/>
  <c r="P41" i="16"/>
  <c r="Y4" i="28"/>
  <c r="Y3" i="28" s="1"/>
  <c r="Y43" i="28"/>
  <c r="Y57" i="28" s="1"/>
  <c r="Y15" i="28"/>
  <c r="K38" i="40"/>
  <c r="K52" i="40"/>
  <c r="W72" i="38"/>
  <c r="W41" i="38"/>
  <c r="V72" i="33"/>
  <c r="V41" i="33"/>
  <c r="AH72" i="37"/>
  <c r="AH41" i="37"/>
  <c r="AB15" i="37"/>
  <c r="AB43" i="37"/>
  <c r="AB57" i="37" s="1"/>
  <c r="AB4" i="37"/>
  <c r="W15" i="16"/>
  <c r="W4" i="16"/>
  <c r="W43" i="16"/>
  <c r="W57" i="16" s="1"/>
  <c r="V15" i="38"/>
  <c r="V43" i="38"/>
  <c r="V57" i="38" s="1"/>
  <c r="V4" i="38"/>
  <c r="V3" i="38" s="1"/>
  <c r="AD43" i="36"/>
  <c r="AD57" i="36" s="1"/>
  <c r="AD4" i="36"/>
  <c r="AD15" i="36"/>
  <c r="L15" i="16"/>
  <c r="L4" i="16"/>
  <c r="L3" i="16" s="1"/>
  <c r="L43" i="16"/>
  <c r="L57" i="16" s="1"/>
  <c r="AE15" i="34"/>
  <c r="AE4" i="34"/>
  <c r="AE43" i="34"/>
  <c r="AE57" i="34" s="1"/>
  <c r="H47" i="40"/>
  <c r="H33" i="40"/>
  <c r="K43" i="28"/>
  <c r="K57" i="28" s="1"/>
  <c r="K4" i="28"/>
  <c r="K15" i="28"/>
  <c r="AL26" i="34"/>
  <c r="AL54" i="34" s="1"/>
  <c r="AL67" i="34" s="1"/>
  <c r="AF72" i="35"/>
  <c r="AF41" i="35"/>
  <c r="AK4" i="16"/>
  <c r="AK3" i="16" s="1"/>
  <c r="AK43" i="16"/>
  <c r="AK57" i="16" s="1"/>
  <c r="AK15" i="16"/>
  <c r="Z15" i="38"/>
  <c r="Z43" i="38"/>
  <c r="Z57" i="38" s="1"/>
  <c r="Z4" i="38"/>
  <c r="Z3" i="38" s="1"/>
  <c r="K15" i="38"/>
  <c r="K4" i="38"/>
  <c r="K3" i="38" s="1"/>
  <c r="K43" i="38"/>
  <c r="K57" i="38" s="1"/>
  <c r="AK15" i="34"/>
  <c r="AK4" i="34"/>
  <c r="AK3" i="34" s="1"/>
  <c r="AK43" i="34"/>
  <c r="AK57" i="34" s="1"/>
  <c r="I72" i="38"/>
  <c r="I41" i="38"/>
  <c r="AL26" i="30"/>
  <c r="AK72" i="36"/>
  <c r="AK41" i="36"/>
  <c r="AC4" i="30"/>
  <c r="AC43" i="30"/>
  <c r="AC57" i="30" s="1"/>
  <c r="AC15" i="30"/>
  <c r="U43" i="33"/>
  <c r="U57" i="33" s="1"/>
  <c r="U4" i="33"/>
  <c r="U15" i="33"/>
  <c r="AM2" i="32"/>
  <c r="I5" i="40" s="1"/>
  <c r="AG4" i="37"/>
  <c r="AG3" i="37" s="1"/>
  <c r="AG43" i="37"/>
  <c r="AG57" i="37" s="1"/>
  <c r="AG15" i="37"/>
  <c r="Z4" i="36"/>
  <c r="Z3" i="36" s="1"/>
  <c r="Z43" i="36"/>
  <c r="Z57" i="36" s="1"/>
  <c r="Z15" i="36"/>
  <c r="AM2" i="33"/>
  <c r="J5" i="40" s="1"/>
  <c r="AM44" i="30"/>
  <c r="AM58" i="30" s="1"/>
  <c r="Y72" i="38"/>
  <c r="Y41" i="38"/>
  <c r="O4" i="33"/>
  <c r="O3" i="33" s="1"/>
  <c r="O43" i="33"/>
  <c r="O57" i="33" s="1"/>
  <c r="O15" i="33"/>
  <c r="T15" i="16"/>
  <c r="T43" i="16"/>
  <c r="T57" i="16" s="1"/>
  <c r="T4" i="16"/>
  <c r="T3" i="16" s="1"/>
  <c r="M4" i="31"/>
  <c r="M3" i="31" s="1"/>
  <c r="M43" i="31"/>
  <c r="M57" i="31" s="1"/>
  <c r="M15" i="31"/>
  <c r="X72" i="28"/>
  <c r="X41" i="28"/>
  <c r="AM42" i="38"/>
  <c r="AM56" i="38" s="1"/>
  <c r="E51" i="40"/>
  <c r="E37" i="40"/>
  <c r="Y15" i="30"/>
  <c r="Y4" i="30"/>
  <c r="Y43" i="30"/>
  <c r="Y57" i="30" s="1"/>
  <c r="AM2" i="28"/>
  <c r="E5" i="40" s="1"/>
  <c r="AF4" i="37"/>
  <c r="AF43" i="37"/>
  <c r="AF57" i="37" s="1"/>
  <c r="AF15" i="37"/>
  <c r="AM2" i="29"/>
  <c r="F5" i="40" s="1"/>
  <c r="AK4" i="35"/>
  <c r="AK43" i="35"/>
  <c r="AK57" i="35" s="1"/>
  <c r="AK15" i="35"/>
  <c r="M72" i="28"/>
  <c r="M41" i="28"/>
  <c r="Z43" i="32"/>
  <c r="Z57" i="32" s="1"/>
  <c r="Z4" i="32"/>
  <c r="Z15" i="32"/>
  <c r="AG72" i="34"/>
  <c r="AG41" i="34"/>
  <c r="AB72" i="36"/>
  <c r="AB41" i="36"/>
  <c r="W43" i="36"/>
  <c r="W57" i="36" s="1"/>
  <c r="W4" i="36"/>
  <c r="W3" i="36" s="1"/>
  <c r="W15" i="36"/>
  <c r="Z4" i="29"/>
  <c r="Z3" i="29" s="1"/>
  <c r="Z43" i="29"/>
  <c r="Z57" i="29" s="1"/>
  <c r="Z15" i="29"/>
  <c r="AD15" i="29"/>
  <c r="AD4" i="29"/>
  <c r="AD43" i="29"/>
  <c r="AD57" i="29" s="1"/>
  <c r="AE72" i="30"/>
  <c r="AE41" i="30"/>
  <c r="K34" i="40"/>
  <c r="K48" i="40"/>
  <c r="AA72" i="29"/>
  <c r="AA41" i="29"/>
  <c r="R4" i="35"/>
  <c r="R3" i="35" s="1"/>
  <c r="R43" i="35"/>
  <c r="R57" i="35" s="1"/>
  <c r="R15" i="35"/>
  <c r="O72" i="30"/>
  <c r="O41" i="30"/>
  <c r="I43" i="28"/>
  <c r="I57" i="28" s="1"/>
  <c r="I15" i="28"/>
  <c r="I4" i="28"/>
  <c r="I3" i="28" s="1"/>
  <c r="AM14" i="28"/>
  <c r="E12" i="40" s="1"/>
  <c r="M4" i="34"/>
  <c r="M3" i="34" s="1"/>
  <c r="M43" i="34"/>
  <c r="M57" i="34" s="1"/>
  <c r="M15" i="34"/>
  <c r="R15" i="34"/>
  <c r="R4" i="34"/>
  <c r="R43" i="34"/>
  <c r="R57" i="34" s="1"/>
  <c r="AB15" i="38"/>
  <c r="AB4" i="38"/>
  <c r="AB43" i="38"/>
  <c r="AB57" i="38" s="1"/>
  <c r="Q15" i="16"/>
  <c r="Q43" i="16"/>
  <c r="Q57" i="16" s="1"/>
  <c r="Q4" i="16"/>
  <c r="Q3" i="16" s="1"/>
  <c r="H36" i="40"/>
  <c r="H50" i="40"/>
  <c r="AM46" i="33"/>
  <c r="AM60" i="33" s="1"/>
  <c r="AB4" i="16"/>
  <c r="AB3" i="16" s="1"/>
  <c r="AB43" i="16"/>
  <c r="AB57" i="16" s="1"/>
  <c r="AB15" i="16"/>
  <c r="AH43" i="16"/>
  <c r="AH57" i="16" s="1"/>
  <c r="AH4" i="16"/>
  <c r="AH15" i="16"/>
  <c r="AA15" i="33"/>
  <c r="AA43" i="33"/>
  <c r="AA57" i="33" s="1"/>
  <c r="AA4" i="33"/>
  <c r="U43" i="28"/>
  <c r="U57" i="28" s="1"/>
  <c r="U15" i="28"/>
  <c r="U4" i="28"/>
  <c r="I15" i="34"/>
  <c r="I4" i="34"/>
  <c r="I3" i="34" s="1"/>
  <c r="I43" i="34"/>
  <c r="I57" i="34" s="1"/>
  <c r="AL27" i="28"/>
  <c r="AL28" i="28"/>
  <c r="AL55" i="28"/>
  <c r="AL68" i="28" s="1"/>
  <c r="AL69" i="28" s="1"/>
  <c r="AL70" i="28" s="1" a="1"/>
  <c r="AL70" i="28" s="1"/>
  <c r="AH43" i="30"/>
  <c r="AH57" i="30" s="1"/>
  <c r="AH15" i="30"/>
  <c r="AH4" i="30"/>
  <c r="AM45" i="37"/>
  <c r="AM59" i="37" s="1"/>
  <c r="Y43" i="38"/>
  <c r="Y57" i="38" s="1"/>
  <c r="Y4" i="38"/>
  <c r="Y15" i="38"/>
  <c r="H41" i="31"/>
  <c r="H72" i="31"/>
  <c r="M41" i="31"/>
  <c r="M72" i="31"/>
  <c r="T43" i="28"/>
  <c r="T57" i="28" s="1"/>
  <c r="T4" i="28"/>
  <c r="T15" i="28"/>
  <c r="U43" i="35"/>
  <c r="U57" i="35" s="1"/>
  <c r="U4" i="35"/>
  <c r="U15" i="35"/>
  <c r="AH4" i="37"/>
  <c r="AH43" i="37"/>
  <c r="AH57" i="37" s="1"/>
  <c r="AH15" i="37"/>
  <c r="AM48" i="33"/>
  <c r="AM62" i="33" s="1"/>
  <c r="U4" i="32"/>
  <c r="U43" i="32"/>
  <c r="U57" i="32" s="1"/>
  <c r="U15" i="32"/>
  <c r="AA72" i="16"/>
  <c r="AA41" i="16"/>
  <c r="V43" i="31"/>
  <c r="V57" i="31" s="1"/>
  <c r="V4" i="31"/>
  <c r="V15" i="31"/>
  <c r="N4" i="30"/>
  <c r="N3" i="30" s="1"/>
  <c r="N43" i="30"/>
  <c r="N57" i="30" s="1"/>
  <c r="N15" i="30"/>
  <c r="AG43" i="30"/>
  <c r="AG57" i="30" s="1"/>
  <c r="AG4" i="30"/>
  <c r="AG15" i="30"/>
  <c r="T15" i="33"/>
  <c r="T43" i="33"/>
  <c r="T57" i="33" s="1"/>
  <c r="T4" i="33"/>
  <c r="T3" i="33" s="1"/>
  <c r="AJ4" i="33"/>
  <c r="AJ3" i="33" s="1"/>
  <c r="AJ43" i="33"/>
  <c r="AJ57" i="33" s="1"/>
  <c r="AJ15" i="33"/>
  <c r="AD4" i="32"/>
  <c r="AD3" i="32" s="1"/>
  <c r="AD43" i="32"/>
  <c r="AD57" i="32" s="1"/>
  <c r="AD15" i="32"/>
  <c r="AK4" i="30"/>
  <c r="AK43" i="30"/>
  <c r="AK57" i="30" s="1"/>
  <c r="AK15" i="30"/>
  <c r="AI15" i="30"/>
  <c r="AI4" i="30"/>
  <c r="AI3" i="30" s="1"/>
  <c r="AI43" i="30"/>
  <c r="AI57" i="30" s="1"/>
  <c r="AA43" i="38"/>
  <c r="AA57" i="38" s="1"/>
  <c r="AA4" i="38"/>
  <c r="AA3" i="38" s="1"/>
  <c r="AA15" i="38"/>
  <c r="Y4" i="37"/>
  <c r="Y43" i="37"/>
  <c r="Y57" i="37" s="1"/>
  <c r="Y15" i="37"/>
  <c r="P4" i="30"/>
  <c r="P3" i="30" s="1"/>
  <c r="P43" i="30"/>
  <c r="P57" i="30" s="1"/>
  <c r="P15" i="30"/>
  <c r="AA43" i="31"/>
  <c r="AA57" i="31" s="1"/>
  <c r="AA4" i="31"/>
  <c r="AA15" i="31"/>
  <c r="AC4" i="32"/>
  <c r="AC3" i="32" s="1"/>
  <c r="AC43" i="32"/>
  <c r="AC57" i="32" s="1"/>
  <c r="AC15" i="32"/>
  <c r="N43" i="31"/>
  <c r="N57" i="31" s="1"/>
  <c r="N4" i="31"/>
  <c r="N15" i="31"/>
  <c r="AM2" i="38"/>
  <c r="O5" i="40" s="1"/>
  <c r="I15" i="37"/>
  <c r="I4" i="37"/>
  <c r="I43" i="37"/>
  <c r="I57" i="37" s="1"/>
  <c r="AM14" i="37"/>
  <c r="N12" i="40" s="1"/>
  <c r="J72" i="33"/>
  <c r="J41" i="33"/>
  <c r="AH4" i="34"/>
  <c r="AH43" i="34"/>
  <c r="AH57" i="34" s="1"/>
  <c r="AH15" i="34"/>
  <c r="Q72" i="33"/>
  <c r="Q41" i="33"/>
  <c r="AB43" i="33"/>
  <c r="AB57" i="33" s="1"/>
  <c r="AB15" i="33"/>
  <c r="AB4" i="33"/>
  <c r="AB3" i="33" s="1"/>
  <c r="AC4" i="16"/>
  <c r="AC3" i="16" s="1"/>
  <c r="AC43" i="16"/>
  <c r="AC57" i="16" s="1"/>
  <c r="AC15" i="16"/>
  <c r="X15" i="16"/>
  <c r="X43" i="16"/>
  <c r="X57" i="16" s="1"/>
  <c r="X4" i="16"/>
  <c r="Q26" i="30"/>
  <c r="Q52" i="30" s="1"/>
  <c r="Q40" i="30" s="1"/>
  <c r="AM49" i="29"/>
  <c r="AM63" i="29" s="1"/>
  <c r="J72" i="32"/>
  <c r="J41" i="32"/>
  <c r="P4" i="33"/>
  <c r="P3" i="33" s="1"/>
  <c r="P43" i="33"/>
  <c r="P57" i="33" s="1"/>
  <c r="P15" i="33"/>
  <c r="AK15" i="37"/>
  <c r="AK4" i="37"/>
  <c r="AK43" i="37"/>
  <c r="AK57" i="37" s="1"/>
  <c r="M15" i="28"/>
  <c r="M4" i="28"/>
  <c r="M43" i="28"/>
  <c r="M57" i="28" s="1"/>
  <c r="K72" i="35"/>
  <c r="K41" i="35"/>
  <c r="M15" i="38"/>
  <c r="M43" i="38"/>
  <c r="M57" i="38" s="1"/>
  <c r="M4" i="38"/>
  <c r="AD72" i="38"/>
  <c r="AD41" i="38"/>
  <c r="Z4" i="34"/>
  <c r="Z3" i="34" s="1"/>
  <c r="Z43" i="34"/>
  <c r="Z57" i="34" s="1"/>
  <c r="Z15" i="34"/>
  <c r="AB4" i="36"/>
  <c r="AB3" i="36" s="1"/>
  <c r="AB43" i="36"/>
  <c r="AB57" i="36" s="1"/>
  <c r="AB15" i="36"/>
  <c r="AB43" i="35"/>
  <c r="AB57" i="35" s="1"/>
  <c r="AB4" i="35"/>
  <c r="AB15" i="35"/>
  <c r="M4" i="29"/>
  <c r="M43" i="29"/>
  <c r="M57" i="29" s="1"/>
  <c r="M15" i="29"/>
  <c r="AE4" i="38"/>
  <c r="AE43" i="38"/>
  <c r="AE57" i="38" s="1"/>
  <c r="AE15" i="38"/>
  <c r="W4" i="33"/>
  <c r="W3" i="33" s="1"/>
  <c r="W43" i="33"/>
  <c r="W57" i="33" s="1"/>
  <c r="W15" i="33"/>
  <c r="K15" i="31"/>
  <c r="K4" i="31"/>
  <c r="K43" i="31"/>
  <c r="K57" i="31" s="1"/>
  <c r="Z4" i="37"/>
  <c r="Z43" i="37"/>
  <c r="Z57" i="37" s="1"/>
  <c r="Z15" i="37"/>
  <c r="R4" i="32"/>
  <c r="R3" i="32" s="1"/>
  <c r="R43" i="32"/>
  <c r="R57" i="32" s="1"/>
  <c r="R15" i="32"/>
  <c r="H68" i="16"/>
  <c r="H69" i="16" s="1"/>
  <c r="M43" i="35"/>
  <c r="M57" i="35" s="1"/>
  <c r="M15" i="35"/>
  <c r="M4" i="35"/>
  <c r="AM2" i="16"/>
  <c r="D5" i="40" s="1"/>
  <c r="Y72" i="37"/>
  <c r="Y41" i="37"/>
  <c r="AH4" i="36"/>
  <c r="AH3" i="36" s="1"/>
  <c r="AH43" i="36"/>
  <c r="AH57" i="36" s="1"/>
  <c r="AH15" i="36"/>
  <c r="I4" i="29"/>
  <c r="I3" i="29" s="1"/>
  <c r="I43" i="29"/>
  <c r="I57" i="29" s="1"/>
  <c r="I15" i="29"/>
  <c r="AM14" i="29"/>
  <c r="F12" i="40" s="1"/>
  <c r="I4" i="38"/>
  <c r="I43" i="38"/>
  <c r="I57" i="38" s="1"/>
  <c r="I15" i="38"/>
  <c r="K4" i="32"/>
  <c r="K3" i="32" s="1"/>
  <c r="K43" i="32"/>
  <c r="K57" i="32" s="1"/>
  <c r="K15" i="32"/>
  <c r="AM42" i="29"/>
  <c r="AM56" i="29" s="1"/>
  <c r="AL26" i="37"/>
  <c r="AM46" i="37"/>
  <c r="AM60" i="37" s="1"/>
  <c r="U4" i="16"/>
  <c r="U43" i="16"/>
  <c r="U57" i="16" s="1"/>
  <c r="U15" i="16"/>
  <c r="AI72" i="36"/>
  <c r="AI41" i="36"/>
  <c r="M4" i="30"/>
  <c r="M43" i="30"/>
  <c r="M57" i="30" s="1"/>
  <c r="M15" i="30"/>
  <c r="M43" i="33"/>
  <c r="M57" i="33" s="1"/>
  <c r="M15" i="33"/>
  <c r="M4" i="33"/>
  <c r="M3" i="33" s="1"/>
  <c r="O4" i="32"/>
  <c r="O43" i="32"/>
  <c r="O57" i="32" s="1"/>
  <c r="O15" i="32"/>
  <c r="K33" i="40"/>
  <c r="K47" i="40"/>
  <c r="V4" i="29"/>
  <c r="V43" i="29"/>
  <c r="V57" i="29" s="1"/>
  <c r="V15" i="29"/>
  <c r="AM49" i="33"/>
  <c r="AM63" i="33" s="1"/>
  <c r="H38" i="40"/>
  <c r="H52" i="40"/>
  <c r="AM2" i="35"/>
  <c r="L5" i="40" s="1"/>
  <c r="AH72" i="31"/>
  <c r="AH41" i="31"/>
  <c r="P43" i="36"/>
  <c r="P57" i="36" s="1"/>
  <c r="P4" i="36"/>
  <c r="P3" i="36" s="1"/>
  <c r="P15" i="36"/>
  <c r="AE43" i="37"/>
  <c r="AE57" i="37" s="1"/>
  <c r="AE4" i="37"/>
  <c r="AE15" i="37"/>
  <c r="AB15" i="30"/>
  <c r="AB4" i="30"/>
  <c r="AB43" i="30"/>
  <c r="AB57" i="30" s="1"/>
  <c r="AG72" i="32"/>
  <c r="AG41" i="32"/>
  <c r="N4" i="16"/>
  <c r="N3" i="16" s="1"/>
  <c r="N43" i="16"/>
  <c r="N57" i="16" s="1"/>
  <c r="N15" i="16"/>
  <c r="O72" i="33"/>
  <c r="O41" i="33"/>
  <c r="AI15" i="34"/>
  <c r="AI43" i="34"/>
  <c r="AI57" i="34" s="1"/>
  <c r="AI4" i="34"/>
  <c r="AI3" i="34" s="1"/>
  <c r="H15" i="31"/>
  <c r="H4" i="31"/>
  <c r="H43" i="31"/>
  <c r="H57" i="31" s="1"/>
  <c r="R43" i="31"/>
  <c r="R57" i="31" s="1"/>
  <c r="R4" i="31"/>
  <c r="R3" i="31" s="1"/>
  <c r="R15" i="31"/>
  <c r="Q43" i="29"/>
  <c r="Q57" i="29" s="1"/>
  <c r="Q4" i="29"/>
  <c r="Q3" i="29" s="1"/>
  <c r="Q15" i="29"/>
  <c r="P4" i="35"/>
  <c r="P43" i="35"/>
  <c r="P57" i="35" s="1"/>
  <c r="P15" i="35"/>
  <c r="I43" i="31"/>
  <c r="I57" i="31" s="1"/>
  <c r="I4" i="31"/>
  <c r="I15" i="31"/>
  <c r="AC72" i="30"/>
  <c r="AC41" i="30"/>
  <c r="AE4" i="35"/>
  <c r="AE3" i="35" s="1"/>
  <c r="AE43" i="35"/>
  <c r="AE57" i="35" s="1"/>
  <c r="AE15" i="35"/>
  <c r="AG4" i="28"/>
  <c r="AG3" i="28" s="1"/>
  <c r="AG43" i="28"/>
  <c r="AG57" i="28" s="1"/>
  <c r="AG15" i="28"/>
  <c r="AI15" i="38"/>
  <c r="AI4" i="38"/>
  <c r="AI3" i="38" s="1"/>
  <c r="AI43" i="38"/>
  <c r="AI57" i="38" s="1"/>
  <c r="J15" i="34"/>
  <c r="J4" i="34"/>
  <c r="J3" i="34" s="1"/>
  <c r="J43" i="34"/>
  <c r="J57" i="34" s="1"/>
  <c r="K72" i="37"/>
  <c r="K41" i="37"/>
  <c r="AL53" i="35"/>
  <c r="AL66" i="35" s="1"/>
  <c r="AL39" i="35"/>
  <c r="J4" i="35"/>
  <c r="J3" i="35" s="1"/>
  <c r="J43" i="35"/>
  <c r="J57" i="35" s="1"/>
  <c r="J15" i="35"/>
  <c r="W4" i="35"/>
  <c r="W3" i="35" s="1"/>
  <c r="W43" i="35"/>
  <c r="W57" i="35" s="1"/>
  <c r="W15" i="35"/>
  <c r="AJ43" i="37"/>
  <c r="AJ57" i="37" s="1"/>
  <c r="AJ15" i="37"/>
  <c r="AJ4" i="37"/>
  <c r="AK72" i="38"/>
  <c r="AK41" i="38"/>
  <c r="AM45" i="29"/>
  <c r="AM59" i="29" s="1"/>
  <c r="U15" i="29"/>
  <c r="U43" i="29"/>
  <c r="U57" i="29" s="1"/>
  <c r="U4" i="29"/>
  <c r="U3" i="29" s="1"/>
  <c r="AE72" i="32"/>
  <c r="AE41" i="32"/>
  <c r="T4" i="34"/>
  <c r="T43" i="34"/>
  <c r="T57" i="34" s="1"/>
  <c r="T15" i="34"/>
  <c r="R4" i="28"/>
  <c r="R43" i="28"/>
  <c r="R57" i="28" s="1"/>
  <c r="R15" i="28"/>
  <c r="W72" i="16"/>
  <c r="W41" i="16"/>
  <c r="AJ72" i="30"/>
  <c r="AJ41" i="30"/>
  <c r="J43" i="30"/>
  <c r="J57" i="30" s="1"/>
  <c r="J4" i="30"/>
  <c r="J3" i="30" s="1"/>
  <c r="J15" i="30"/>
  <c r="AI43" i="33"/>
  <c r="AI57" i="33" s="1"/>
  <c r="AI4" i="33"/>
  <c r="AI15" i="33"/>
  <c r="X4" i="37"/>
  <c r="X43" i="37"/>
  <c r="X57" i="37" s="1"/>
  <c r="X15" i="37"/>
  <c r="AJ72" i="28"/>
  <c r="AJ41" i="28"/>
  <c r="N43" i="35"/>
  <c r="N57" i="35" s="1"/>
  <c r="N4" i="35"/>
  <c r="N15" i="35"/>
  <c r="AK53" i="28"/>
  <c r="AK66" i="28" s="1"/>
  <c r="AK39" i="28"/>
  <c r="K4" i="37"/>
  <c r="K43" i="37"/>
  <c r="K57" i="37" s="1"/>
  <c r="K15" i="37"/>
  <c r="L15" i="36"/>
  <c r="L4" i="36"/>
  <c r="L43" i="36"/>
  <c r="L57" i="36" s="1"/>
  <c r="AC4" i="38"/>
  <c r="AC43" i="38"/>
  <c r="AC57" i="38" s="1"/>
  <c r="AC15" i="38"/>
  <c r="AL53" i="28"/>
  <c r="AL66" i="28" s="1"/>
  <c r="AL39" i="28"/>
  <c r="AF4" i="32"/>
  <c r="AF43" i="32"/>
  <c r="AF57" i="32" s="1"/>
  <c r="AF15" i="32"/>
  <c r="AE4" i="32"/>
  <c r="AE43" i="32"/>
  <c r="AE57" i="32" s="1"/>
  <c r="AE15" i="32"/>
  <c r="Y15" i="16"/>
  <c r="Y43" i="16"/>
  <c r="Y57" i="16" s="1"/>
  <c r="Y4" i="16"/>
  <c r="U15" i="30"/>
  <c r="U4" i="30"/>
  <c r="U3" i="30" s="1"/>
  <c r="U43" i="30"/>
  <c r="U57" i="30" s="1"/>
  <c r="AM2" i="34"/>
  <c r="K5" i="40" s="1"/>
  <c r="M72" i="37"/>
  <c r="M41" i="37"/>
  <c r="R72" i="29"/>
  <c r="R41" i="29"/>
  <c r="AB2" i="31"/>
  <c r="AB6" i="31"/>
  <c r="AB14" i="31"/>
  <c r="H41" i="16"/>
  <c r="H72" i="16"/>
  <c r="P4" i="38"/>
  <c r="P43" i="38"/>
  <c r="P57" i="38" s="1"/>
  <c r="P15" i="38"/>
  <c r="U4" i="38"/>
  <c r="U43" i="38"/>
  <c r="U57" i="38" s="1"/>
  <c r="U15" i="38"/>
  <c r="S4" i="34"/>
  <c r="S43" i="34"/>
  <c r="S57" i="34" s="1"/>
  <c r="S15" i="34"/>
  <c r="AC4" i="33"/>
  <c r="AC43" i="33"/>
  <c r="AC57" i="33" s="1"/>
  <c r="AC15" i="33"/>
  <c r="AB72" i="34"/>
  <c r="AB41" i="34"/>
  <c r="O72" i="31"/>
  <c r="O41" i="31"/>
  <c r="AE15" i="29"/>
  <c r="AE43" i="29"/>
  <c r="AE57" i="29" s="1"/>
  <c r="AE4" i="29"/>
  <c r="N43" i="34"/>
  <c r="N57" i="34" s="1"/>
  <c r="N4" i="34"/>
  <c r="N15" i="34"/>
  <c r="S4" i="37"/>
  <c r="S43" i="37"/>
  <c r="S57" i="37" s="1"/>
  <c r="S15" i="37"/>
  <c r="Q72" i="28"/>
  <c r="Q41" i="28"/>
  <c r="AH72" i="16"/>
  <c r="AH41" i="16"/>
  <c r="T3" i="30"/>
  <c r="M38" i="40"/>
  <c r="M52" i="40"/>
  <c r="AM47" i="33"/>
  <c r="AM61" i="33" s="1"/>
  <c r="AH15" i="29"/>
  <c r="AH43" i="29"/>
  <c r="AH57" i="29" s="1"/>
  <c r="AH4" i="29"/>
  <c r="Q41" i="32"/>
  <c r="Q72" i="32"/>
  <c r="P15" i="16"/>
  <c r="P4" i="16"/>
  <c r="P3" i="16" s="1"/>
  <c r="P43" i="16"/>
  <c r="P57" i="16" s="1"/>
  <c r="AM49" i="37"/>
  <c r="AM63" i="37" s="1"/>
  <c r="L4" i="34"/>
  <c r="L43" i="34"/>
  <c r="L57" i="34" s="1"/>
  <c r="L15" i="34"/>
  <c r="S43" i="31"/>
  <c r="S57" i="31" s="1"/>
  <c r="S15" i="31"/>
  <c r="S4" i="31"/>
  <c r="AA43" i="28"/>
  <c r="AA57" i="28" s="1"/>
  <c r="AA4" i="28"/>
  <c r="AA15" i="28"/>
  <c r="R72" i="38"/>
  <c r="R41" i="38"/>
  <c r="V41" i="31"/>
  <c r="V72" i="31"/>
  <c r="U72" i="34"/>
  <c r="U41" i="34"/>
  <c r="AL3" i="29"/>
  <c r="AI43" i="32"/>
  <c r="AI57" i="32" s="1"/>
  <c r="AI4" i="32"/>
  <c r="AI15" i="32"/>
  <c r="U43" i="37"/>
  <c r="U57" i="37" s="1"/>
  <c r="U4" i="37"/>
  <c r="U3" i="37" s="1"/>
  <c r="U15" i="37"/>
  <c r="K4" i="33"/>
  <c r="K43" i="33"/>
  <c r="K57" i="33" s="1"/>
  <c r="K15" i="33"/>
  <c r="M72" i="16"/>
  <c r="M41" i="16"/>
  <c r="AE4" i="30"/>
  <c r="AE15" i="30"/>
  <c r="AE43" i="30"/>
  <c r="AE57" i="30" s="1"/>
  <c r="J4" i="16"/>
  <c r="J3" i="16" s="1"/>
  <c r="J43" i="16"/>
  <c r="J57" i="16" s="1"/>
  <c r="J15" i="16"/>
  <c r="AM14" i="16"/>
  <c r="D12" i="40" s="1"/>
  <c r="L4" i="28"/>
  <c r="L3" i="28" s="1"/>
  <c r="L43" i="28"/>
  <c r="L57" i="28" s="1"/>
  <c r="L15" i="28"/>
  <c r="L15" i="38"/>
  <c r="L43" i="38"/>
  <c r="L57" i="38" s="1"/>
  <c r="L4" i="38"/>
  <c r="AH4" i="31"/>
  <c r="AH3" i="31" s="1"/>
  <c r="AH43" i="31"/>
  <c r="AH57" i="31" s="1"/>
  <c r="AH15" i="31"/>
  <c r="T72" i="16"/>
  <c r="T41" i="16"/>
  <c r="Y72" i="29"/>
  <c r="Y41" i="29"/>
  <c r="P4" i="37"/>
  <c r="P43" i="37"/>
  <c r="P57" i="37" s="1"/>
  <c r="P15" i="37"/>
  <c r="V4" i="36"/>
  <c r="V43" i="36"/>
  <c r="V57" i="36" s="1"/>
  <c r="V15" i="36"/>
  <c r="O4" i="36"/>
  <c r="O3" i="36" s="1"/>
  <c r="O43" i="36"/>
  <c r="O57" i="36" s="1"/>
  <c r="O15" i="36"/>
  <c r="S72" i="34"/>
  <c r="S41" i="34"/>
  <c r="S43" i="32"/>
  <c r="S57" i="32" s="1"/>
  <c r="S4" i="32"/>
  <c r="S15" i="32"/>
  <c r="W15" i="37"/>
  <c r="W4" i="37"/>
  <c r="W43" i="37"/>
  <c r="W57" i="37" s="1"/>
  <c r="S4" i="28"/>
  <c r="S43" i="28"/>
  <c r="S57" i="28" s="1"/>
  <c r="S15" i="28"/>
  <c r="AF4" i="29"/>
  <c r="AF3" i="29" s="1"/>
  <c r="AF43" i="29"/>
  <c r="AF57" i="29" s="1"/>
  <c r="AF15" i="29"/>
  <c r="I4" i="30"/>
  <c r="I3" i="30" s="1"/>
  <c r="I43" i="30"/>
  <c r="I57" i="30" s="1"/>
  <c r="I15" i="30"/>
  <c r="AL72" i="30"/>
  <c r="AL41" i="30"/>
  <c r="AE4" i="33"/>
  <c r="AE15" i="33"/>
  <c r="AE43" i="33"/>
  <c r="AE57" i="33" s="1"/>
  <c r="AK72" i="16"/>
  <c r="AK41" i="16"/>
  <c r="L72" i="32"/>
  <c r="L41" i="32"/>
  <c r="AG4" i="35"/>
  <c r="AG15" i="35"/>
  <c r="AG43" i="35"/>
  <c r="AG57" i="35" s="1"/>
  <c r="H15" i="35"/>
  <c r="H4" i="35"/>
  <c r="H43" i="35"/>
  <c r="H57" i="35" s="1"/>
  <c r="AM14" i="35"/>
  <c r="L12" i="40" s="1"/>
  <c r="AK4" i="38"/>
  <c r="AK43" i="38"/>
  <c r="AK57" i="38" s="1"/>
  <c r="AK15" i="38"/>
  <c r="P4" i="29"/>
  <c r="P43" i="29"/>
  <c r="P57" i="29" s="1"/>
  <c r="P15" i="29"/>
  <c r="H35" i="40"/>
  <c r="H49" i="40"/>
  <c r="Y4" i="29"/>
  <c r="Y43" i="29"/>
  <c r="Y57" i="29" s="1"/>
  <c r="Y15" i="29"/>
  <c r="Y4" i="35"/>
  <c r="Y43" i="35"/>
  <c r="Y57" i="35" s="1"/>
  <c r="Y15" i="35"/>
  <c r="J43" i="29"/>
  <c r="J57" i="29" s="1"/>
  <c r="J4" i="29"/>
  <c r="J15" i="29"/>
  <c r="T72" i="37"/>
  <c r="T41" i="37"/>
  <c r="H15" i="32"/>
  <c r="H43" i="32"/>
  <c r="H57" i="32" s="1"/>
  <c r="H4" i="32"/>
  <c r="H3" i="32" s="1"/>
  <c r="AM14" i="32"/>
  <c r="I12" i="40" s="1"/>
  <c r="M4" i="36"/>
  <c r="M43" i="36"/>
  <c r="M57" i="36" s="1"/>
  <c r="M15" i="36"/>
  <c r="Z4" i="28"/>
  <c r="Z43" i="28"/>
  <c r="Z57" i="28" s="1"/>
  <c r="Z15" i="28"/>
  <c r="AA4" i="37"/>
  <c r="AA15" i="37"/>
  <c r="AA43" i="37"/>
  <c r="AA57" i="37" s="1"/>
  <c r="AL53" i="30"/>
  <c r="AL66" i="30" s="1"/>
  <c r="AL39" i="30"/>
  <c r="N4" i="36"/>
  <c r="N43" i="36"/>
  <c r="N57" i="36" s="1"/>
  <c r="N15" i="36"/>
  <c r="AK72" i="28"/>
  <c r="AK41" i="28"/>
  <c r="AC72" i="31"/>
  <c r="AC41" i="31"/>
  <c r="J15" i="37"/>
  <c r="J4" i="37"/>
  <c r="J3" i="37" s="1"/>
  <c r="J43" i="37"/>
  <c r="J57" i="37" s="1"/>
  <c r="K15" i="35"/>
  <c r="K43" i="35"/>
  <c r="K57" i="35" s="1"/>
  <c r="K4" i="35"/>
  <c r="U72" i="36"/>
  <c r="U41" i="36"/>
  <c r="Z72" i="32"/>
  <c r="Z41" i="32"/>
  <c r="W72" i="36"/>
  <c r="W41" i="36"/>
  <c r="V4" i="16"/>
  <c r="V43" i="16"/>
  <c r="V57" i="16" s="1"/>
  <c r="V15" i="16"/>
  <c r="X72" i="32"/>
  <c r="X41" i="32"/>
  <c r="X72" i="33"/>
  <c r="X41" i="33"/>
  <c r="H4" i="30"/>
  <c r="H43" i="30"/>
  <c r="H57" i="30" s="1"/>
  <c r="H15" i="30"/>
  <c r="AM14" i="30"/>
  <c r="G12" i="40" s="1"/>
  <c r="M4" i="32"/>
  <c r="M43" i="32"/>
  <c r="M57" i="32" s="1"/>
  <c r="M15" i="32"/>
  <c r="AE4" i="16"/>
  <c r="AE43" i="16"/>
  <c r="AE57" i="16" s="1"/>
  <c r="AE15" i="16"/>
  <c r="K72" i="38"/>
  <c r="K41" i="38"/>
  <c r="V4" i="30"/>
  <c r="V43" i="30"/>
  <c r="V57" i="30" s="1"/>
  <c r="V15" i="30"/>
  <c r="AD72" i="35"/>
  <c r="AD41" i="35"/>
  <c r="Q4" i="34"/>
  <c r="Q15" i="34"/>
  <c r="Q43" i="34"/>
  <c r="Q57" i="34" s="1"/>
  <c r="AG15" i="31"/>
  <c r="AG4" i="31"/>
  <c r="AG43" i="31"/>
  <c r="AG57" i="31" s="1"/>
  <c r="S15" i="38"/>
  <c r="S43" i="38"/>
  <c r="S57" i="38" s="1"/>
  <c r="S4" i="38"/>
  <c r="T15" i="36"/>
  <c r="T4" i="36"/>
  <c r="T43" i="36"/>
  <c r="T57" i="36" s="1"/>
  <c r="AF15" i="16"/>
  <c r="AF43" i="16"/>
  <c r="AF57" i="16" s="1"/>
  <c r="AF4" i="16"/>
  <c r="R72" i="35"/>
  <c r="R41" i="35"/>
  <c r="AB43" i="34"/>
  <c r="AB57" i="34" s="1"/>
  <c r="AB15" i="34"/>
  <c r="AB4" i="34"/>
  <c r="AD4" i="33"/>
  <c r="AD43" i="33"/>
  <c r="AD57" i="33" s="1"/>
  <c r="AD15" i="33"/>
  <c r="AF15" i="31"/>
  <c r="AF4" i="31"/>
  <c r="AF43" i="31"/>
  <c r="AF57" i="31" s="1"/>
  <c r="AD43" i="37"/>
  <c r="AD57" i="37" s="1"/>
  <c r="AD4" i="37"/>
  <c r="AD15" i="37"/>
  <c r="O4" i="34"/>
  <c r="O43" i="34"/>
  <c r="O57" i="34" s="1"/>
  <c r="O15" i="34"/>
  <c r="Y4" i="31"/>
  <c r="Y3" i="31" s="1"/>
  <c r="Y43" i="31"/>
  <c r="Y57" i="31" s="1"/>
  <c r="Y15" i="31"/>
  <c r="Q4" i="28"/>
  <c r="Q15" i="28"/>
  <c r="Q43" i="28"/>
  <c r="Q57" i="28" s="1"/>
  <c r="AK4" i="32"/>
  <c r="AK15" i="32"/>
  <c r="AK43" i="32"/>
  <c r="AK57" i="32" s="1"/>
  <c r="AE4" i="28"/>
  <c r="AE43" i="28"/>
  <c r="AE57" i="28" s="1"/>
  <c r="AE15" i="28"/>
  <c r="L4" i="29"/>
  <c r="L43" i="29"/>
  <c r="L57" i="29" s="1"/>
  <c r="L15" i="29"/>
  <c r="K72" i="29"/>
  <c r="K41" i="29"/>
  <c r="AF4" i="34"/>
  <c r="AF3" i="34" s="1"/>
  <c r="AF43" i="34"/>
  <c r="AF57" i="34" s="1"/>
  <c r="AF15" i="34"/>
  <c r="H4" i="33"/>
  <c r="H43" i="33"/>
  <c r="H57" i="33" s="1"/>
  <c r="H15" i="33"/>
  <c r="AM14" i="33"/>
  <c r="J12" i="40" s="1"/>
  <c r="W4" i="34"/>
  <c r="W15" i="34"/>
  <c r="W43" i="34"/>
  <c r="W57" i="34" s="1"/>
  <c r="I72" i="35"/>
  <c r="I41" i="35"/>
  <c r="J72" i="28"/>
  <c r="J41" i="28"/>
  <c r="W43" i="30"/>
  <c r="W57" i="30" s="1"/>
  <c r="W4" i="30"/>
  <c r="W15" i="30"/>
  <c r="AG4" i="29"/>
  <c r="AG43" i="29"/>
  <c r="AG57" i="29" s="1"/>
  <c r="AG15" i="29"/>
  <c r="AG43" i="32"/>
  <c r="AG57" i="32" s="1"/>
  <c r="AG4" i="32"/>
  <c r="AG15" i="32"/>
  <c r="X4" i="38"/>
  <c r="X43" i="38"/>
  <c r="X57" i="38" s="1"/>
  <c r="X15" i="38"/>
  <c r="AA15" i="32"/>
  <c r="AA43" i="32"/>
  <c r="AA57" i="32" s="1"/>
  <c r="AA4" i="32"/>
  <c r="S4" i="29"/>
  <c r="S43" i="29"/>
  <c r="S57" i="29" s="1"/>
  <c r="S15" i="29"/>
  <c r="E35" i="40"/>
  <c r="E49" i="40"/>
  <c r="AI72" i="34"/>
  <c r="AI41" i="34"/>
  <c r="T72" i="28"/>
  <c r="T41" i="28"/>
  <c r="E32" i="40"/>
  <c r="E46" i="40"/>
  <c r="T15" i="35"/>
  <c r="T4" i="35"/>
  <c r="T3" i="35" s="1"/>
  <c r="T43" i="35"/>
  <c r="T57" i="35" s="1"/>
  <c r="AL72" i="37"/>
  <c r="AL41" i="37"/>
  <c r="O15" i="38"/>
  <c r="O43" i="38"/>
  <c r="O57" i="38" s="1"/>
  <c r="O4" i="38"/>
  <c r="AD72" i="36"/>
  <c r="AD41" i="36"/>
  <c r="R43" i="38"/>
  <c r="R57" i="38" s="1"/>
  <c r="R15" i="38"/>
  <c r="R4" i="38"/>
  <c r="AA15" i="16"/>
  <c r="AA43" i="16"/>
  <c r="AA57" i="16" s="1"/>
  <c r="AA4" i="16"/>
  <c r="AD4" i="16"/>
  <c r="AD43" i="16"/>
  <c r="AD57" i="16" s="1"/>
  <c r="AD15" i="16"/>
  <c r="AM45" i="38"/>
  <c r="AM59" i="38" s="1"/>
  <c r="AF72" i="29"/>
  <c r="AF41" i="29"/>
  <c r="AJ15" i="38"/>
  <c r="AJ43" i="38"/>
  <c r="AJ57" i="38" s="1"/>
  <c r="AJ4" i="38"/>
  <c r="AA72" i="37"/>
  <c r="AA41" i="37"/>
  <c r="V15" i="28"/>
  <c r="V4" i="28"/>
  <c r="V43" i="28"/>
  <c r="V57" i="28" s="1"/>
  <c r="L15" i="31"/>
  <c r="L4" i="31"/>
  <c r="L3" i="31" s="1"/>
  <c r="L43" i="31"/>
  <c r="L57" i="31" s="1"/>
  <c r="H75" i="16"/>
  <c r="I74" i="16"/>
  <c r="AA4" i="29"/>
  <c r="AA43" i="29"/>
  <c r="AA57" i="29" s="1"/>
  <c r="AA15" i="29"/>
  <c r="T4" i="29"/>
  <c r="T43" i="29"/>
  <c r="T57" i="29" s="1"/>
  <c r="T15" i="29"/>
  <c r="Q4" i="37"/>
  <c r="Q3" i="37" s="1"/>
  <c r="Q43" i="37"/>
  <c r="Q57" i="37" s="1"/>
  <c r="Q15" i="37"/>
  <c r="AJ4" i="16"/>
  <c r="AJ43" i="16"/>
  <c r="AJ57" i="16" s="1"/>
  <c r="AJ15" i="16"/>
  <c r="L43" i="32"/>
  <c r="L57" i="32" s="1"/>
  <c r="L4" i="32"/>
  <c r="L3" i="32" s="1"/>
  <c r="L15" i="32"/>
  <c r="Y72" i="35"/>
  <c r="Y41" i="35"/>
  <c r="W15" i="32"/>
  <c r="W4" i="32"/>
  <c r="W43" i="32"/>
  <c r="W57" i="32" s="1"/>
  <c r="AD4" i="38"/>
  <c r="AD3" i="38" s="1"/>
  <c r="AD43" i="38"/>
  <c r="AD57" i="38" s="1"/>
  <c r="AD15" i="38"/>
  <c r="M72" i="29"/>
  <c r="M41" i="29"/>
  <c r="Y15" i="34"/>
  <c r="Y4" i="34"/>
  <c r="Y43" i="34"/>
  <c r="Y57" i="34" s="1"/>
  <c r="AI4" i="36"/>
  <c r="AI3" i="36" s="1"/>
  <c r="AI43" i="36"/>
  <c r="AI57" i="36" s="1"/>
  <c r="AI15" i="36"/>
  <c r="W15" i="29"/>
  <c r="W43" i="29"/>
  <c r="W57" i="29" s="1"/>
  <c r="W4" i="29"/>
  <c r="W3" i="29" s="1"/>
  <c r="L4" i="30"/>
  <c r="L43" i="30"/>
  <c r="L57" i="30" s="1"/>
  <c r="L15" i="30"/>
  <c r="H4" i="36"/>
  <c r="H3" i="36" s="1"/>
  <c r="H43" i="36"/>
  <c r="H57" i="36" s="1"/>
  <c r="H15" i="36"/>
  <c r="AM14" i="36"/>
  <c r="M12" i="40" s="1"/>
  <c r="AG43" i="36"/>
  <c r="AG57" i="36" s="1"/>
  <c r="AG15" i="36"/>
  <c r="AG4" i="36"/>
  <c r="AG3" i="36" s="1"/>
  <c r="AJ72" i="33"/>
  <c r="AJ41" i="33"/>
  <c r="V15" i="32"/>
  <c r="V4" i="32"/>
  <c r="V43" i="32"/>
  <c r="V57" i="32" s="1"/>
  <c r="AF72" i="37"/>
  <c r="AF41" i="37"/>
  <c r="AM46" i="29"/>
  <c r="AM60" i="29" s="1"/>
  <c r="AL43" i="33"/>
  <c r="AL57" i="33" s="1"/>
  <c r="AL4" i="33"/>
  <c r="AL15" i="33"/>
  <c r="N15" i="38"/>
  <c r="N4" i="38"/>
  <c r="N43" i="38"/>
  <c r="N57" i="38" s="1"/>
  <c r="AM46" i="38"/>
  <c r="AM60" i="38" s="1"/>
  <c r="AK72" i="35"/>
  <c r="AK41" i="35"/>
  <c r="AC4" i="31"/>
  <c r="AC3" i="31" s="1"/>
  <c r="AC43" i="31"/>
  <c r="AC57" i="31" s="1"/>
  <c r="AC15" i="31"/>
  <c r="AJ4" i="36"/>
  <c r="AJ43" i="36"/>
  <c r="AJ57" i="36" s="1"/>
  <c r="AJ15" i="36"/>
  <c r="N15" i="28"/>
  <c r="N4" i="28"/>
  <c r="N43" i="28"/>
  <c r="N57" i="28" s="1"/>
  <c r="AH15" i="33"/>
  <c r="AH43" i="33"/>
  <c r="AH57" i="33" s="1"/>
  <c r="AH4" i="33"/>
  <c r="AG4" i="34"/>
  <c r="AG43" i="34"/>
  <c r="AG57" i="34" s="1"/>
  <c r="AG15" i="34"/>
  <c r="Z72" i="34"/>
  <c r="Z41" i="34"/>
  <c r="O4" i="16"/>
  <c r="O43" i="16"/>
  <c r="O57" i="16" s="1"/>
  <c r="O15" i="16"/>
  <c r="AL72" i="28"/>
  <c r="AL41" i="28"/>
  <c r="X4" i="29"/>
  <c r="X3" i="29" s="1"/>
  <c r="X15" i="29"/>
  <c r="X43" i="29"/>
  <c r="X57" i="29" s="1"/>
  <c r="X4" i="33"/>
  <c r="X15" i="33"/>
  <c r="X43" i="33"/>
  <c r="X57" i="33" s="1"/>
  <c r="H4" i="34"/>
  <c r="H43" i="34"/>
  <c r="H57" i="34" s="1"/>
  <c r="H15" i="34"/>
  <c r="AM14" i="34"/>
  <c r="K12" i="40" s="1"/>
  <c r="M43" i="37"/>
  <c r="M57" i="37" s="1"/>
  <c r="M4" i="37"/>
  <c r="M15" i="37"/>
  <c r="AD4" i="35"/>
  <c r="AD43" i="35"/>
  <c r="AD57" i="35" s="1"/>
  <c r="AD15" i="35"/>
  <c r="AM48" i="29"/>
  <c r="AM62" i="29" s="1"/>
  <c r="P72" i="38"/>
  <c r="P41" i="38"/>
  <c r="J43" i="33"/>
  <c r="J57" i="33" s="1"/>
  <c r="J4" i="33"/>
  <c r="J15" i="33"/>
  <c r="AI15" i="37"/>
  <c r="AI4" i="37"/>
  <c r="AI43" i="37"/>
  <c r="AI57" i="37" s="1"/>
  <c r="AC72" i="33"/>
  <c r="AC41" i="33"/>
  <c r="O4" i="30"/>
  <c r="O3" i="30" s="1"/>
  <c r="O43" i="30"/>
  <c r="O57" i="30" s="1"/>
  <c r="O15" i="30"/>
  <c r="L4" i="37"/>
  <c r="L43" i="37"/>
  <c r="L57" i="37" s="1"/>
  <c r="L15" i="37"/>
  <c r="O15" i="29"/>
  <c r="O4" i="29"/>
  <c r="O3" i="29" s="1"/>
  <c r="O43" i="29"/>
  <c r="O57" i="29" s="1"/>
  <c r="S72" i="32"/>
  <c r="S41" i="32"/>
  <c r="M36" i="40"/>
  <c r="M50" i="40"/>
  <c r="AH15" i="28"/>
  <c r="AH43" i="28"/>
  <c r="AH57" i="28" s="1"/>
  <c r="AH4" i="28"/>
  <c r="AJ4" i="32"/>
  <c r="AJ15" i="32"/>
  <c r="AJ43" i="32"/>
  <c r="AJ57" i="32" s="1"/>
  <c r="AB43" i="28"/>
  <c r="AB57" i="28" s="1"/>
  <c r="AB4" i="28"/>
  <c r="AB3" i="28" s="1"/>
  <c r="AB15" i="28"/>
  <c r="X4" i="35"/>
  <c r="X3" i="35" s="1"/>
  <c r="X43" i="35"/>
  <c r="X57" i="35" s="1"/>
  <c r="X15" i="35"/>
  <c r="T72" i="29"/>
  <c r="T41" i="29"/>
  <c r="V43" i="35"/>
  <c r="V57" i="35" s="1"/>
  <c r="V15" i="35"/>
  <c r="V4" i="35"/>
  <c r="AM45" i="33"/>
  <c r="AM59" i="33" s="1"/>
  <c r="AA4" i="34"/>
  <c r="AA3" i="34" s="1"/>
  <c r="AA43" i="34"/>
  <c r="AA57" i="34" s="1"/>
  <c r="AA15" i="34"/>
  <c r="AL72" i="33"/>
  <c r="AL41" i="33"/>
  <c r="I4" i="35"/>
  <c r="I3" i="35" s="1"/>
  <c r="I43" i="35"/>
  <c r="I57" i="35" s="1"/>
  <c r="I15" i="35"/>
  <c r="P72" i="36"/>
  <c r="P41" i="36"/>
  <c r="P43" i="32"/>
  <c r="P57" i="32" s="1"/>
  <c r="P4" i="32"/>
  <c r="P15" i="32"/>
  <c r="J15" i="28"/>
  <c r="J43" i="28"/>
  <c r="J57" i="28" s="1"/>
  <c r="J4" i="28"/>
  <c r="J3" i="28" s="1"/>
  <c r="W4" i="38"/>
  <c r="W15" i="38"/>
  <c r="W43" i="38"/>
  <c r="W57" i="38" s="1"/>
  <c r="M37" i="40"/>
  <c r="M51" i="40"/>
  <c r="V4" i="33"/>
  <c r="V43" i="33"/>
  <c r="V57" i="33" s="1"/>
  <c r="V15" i="33"/>
  <c r="N4" i="33"/>
  <c r="N43" i="33"/>
  <c r="N57" i="33" s="1"/>
  <c r="N15" i="33"/>
  <c r="W72" i="35"/>
  <c r="W41" i="35"/>
  <c r="AA72" i="28"/>
  <c r="AA41" i="28"/>
  <c r="AM44" i="37"/>
  <c r="AM58" i="37" s="1"/>
  <c r="X43" i="28"/>
  <c r="X57" i="28" s="1"/>
  <c r="X15" i="28"/>
  <c r="X4" i="28"/>
  <c r="AI4" i="16"/>
  <c r="AI3" i="16" s="1"/>
  <c r="AI43" i="16"/>
  <c r="AI57" i="16" s="1"/>
  <c r="AI15" i="16"/>
  <c r="AK43" i="36"/>
  <c r="AK57" i="36" s="1"/>
  <c r="AK15" i="36"/>
  <c r="AK4" i="36"/>
  <c r="AF4" i="38"/>
  <c r="AF43" i="38"/>
  <c r="AF57" i="38" s="1"/>
  <c r="AF15" i="38"/>
  <c r="R72" i="37"/>
  <c r="R41" i="37"/>
  <c r="AF15" i="35"/>
  <c r="AF4" i="35"/>
  <c r="AF3" i="35" s="1"/>
  <c r="AF43" i="35"/>
  <c r="AF57" i="35" s="1"/>
  <c r="J30" i="40" l="1"/>
  <c r="AJ15" i="31"/>
  <c r="AJ43" i="31"/>
  <c r="AJ57" i="31" s="1"/>
  <c r="AM61" i="37"/>
  <c r="N49" i="40" s="1"/>
  <c r="N38" i="40"/>
  <c r="AM64" i="37"/>
  <c r="N52" i="40" s="1"/>
  <c r="AM63" i="38"/>
  <c r="O51" i="40" s="1"/>
  <c r="M34" i="40"/>
  <c r="AM60" i="36"/>
  <c r="M48" i="40" s="1"/>
  <c r="O32" i="40"/>
  <c r="AM58" i="38"/>
  <c r="O46" i="40" s="1"/>
  <c r="AM61" i="30"/>
  <c r="G49" i="40" s="1"/>
  <c r="AM61" i="36"/>
  <c r="M49" i="40" s="1"/>
  <c r="AM56" i="32"/>
  <c r="I44" i="40" s="1"/>
  <c r="AM62" i="37"/>
  <c r="N50" i="40" s="1"/>
  <c r="AM61" i="38"/>
  <c r="O49" i="40" s="1"/>
  <c r="AM56" i="37"/>
  <c r="N44" i="40" s="1"/>
  <c r="AM59" i="32"/>
  <c r="I47" i="40" s="1"/>
  <c r="AM58" i="32"/>
  <c r="I46" i="40" s="1"/>
  <c r="AM64" i="33"/>
  <c r="J52" i="40" s="1"/>
  <c r="M33" i="40"/>
  <c r="AM59" i="36"/>
  <c r="M47" i="40" s="1"/>
  <c r="C27" i="38"/>
  <c r="AM64" i="38"/>
  <c r="O52" i="40" s="1"/>
  <c r="I36" i="40"/>
  <c r="AM62" i="32"/>
  <c r="I50" i="40" s="1"/>
  <c r="O36" i="40"/>
  <c r="AM62" i="38"/>
  <c r="I37" i="40"/>
  <c r="AM63" i="32"/>
  <c r="I51" i="40" s="1"/>
  <c r="M32" i="40"/>
  <c r="AM58" i="36"/>
  <c r="M46" i="40" s="1"/>
  <c r="M30" i="40"/>
  <c r="AM56" i="36"/>
  <c r="M44" i="40" s="1"/>
  <c r="AM60" i="30"/>
  <c r="G48" i="40" s="1"/>
  <c r="AM63" i="30"/>
  <c r="G51" i="40" s="1"/>
  <c r="I34" i="40"/>
  <c r="AM60" i="32"/>
  <c r="I48" i="40" s="1"/>
  <c r="G33" i="40"/>
  <c r="G30" i="40"/>
  <c r="AM56" i="30"/>
  <c r="G44" i="40" s="1"/>
  <c r="AM62" i="30"/>
  <c r="G50" i="40" s="1"/>
  <c r="AM64" i="32"/>
  <c r="I52" i="40" s="1"/>
  <c r="I35" i="40"/>
  <c r="AM61" i="32"/>
  <c r="I49" i="40" s="1"/>
  <c r="F38" i="40"/>
  <c r="AM64" i="29"/>
  <c r="F52" i="40" s="1"/>
  <c r="AM61" i="29"/>
  <c r="F49" i="40" s="1"/>
  <c r="F32" i="40"/>
  <c r="AM58" i="29"/>
  <c r="F46" i="40" s="1"/>
  <c r="D34" i="40"/>
  <c r="AM60" i="16"/>
  <c r="D48" i="40" s="1"/>
  <c r="AL26" i="29"/>
  <c r="AL51" i="29" s="1"/>
  <c r="AL39" i="29" s="1"/>
  <c r="AL69" i="32"/>
  <c r="AL70" i="32" s="1" a="1"/>
  <c r="AL70" i="32" s="1"/>
  <c r="AL72" i="36"/>
  <c r="AL51" i="34"/>
  <c r="AL39" i="34" s="1"/>
  <c r="T43" i="31"/>
  <c r="T57" i="31" s="1"/>
  <c r="T15" i="31"/>
  <c r="I32" i="40"/>
  <c r="AL28" i="32"/>
  <c r="AL27" i="32"/>
  <c r="AI4" i="31"/>
  <c r="AI3" i="31" s="1"/>
  <c r="Z15" i="31"/>
  <c r="Z43" i="31"/>
  <c r="Z57" i="31" s="1"/>
  <c r="I33" i="40"/>
  <c r="AM2" i="31"/>
  <c r="H5" i="40" s="1"/>
  <c r="P5" i="40" s="1"/>
  <c r="M35" i="40"/>
  <c r="I38" i="40"/>
  <c r="P4" i="31"/>
  <c r="P3" i="31" s="1"/>
  <c r="P43" i="31"/>
  <c r="P57" i="31" s="1"/>
  <c r="AI15" i="31"/>
  <c r="AL41" i="29"/>
  <c r="AL72" i="29"/>
  <c r="AJ26" i="28"/>
  <c r="AJ52" i="28" s="1"/>
  <c r="AJ40" i="28" s="1"/>
  <c r="AJ3" i="28"/>
  <c r="G35" i="40"/>
  <c r="N30" i="40"/>
  <c r="O38" i="40"/>
  <c r="G34" i="40"/>
  <c r="N35" i="40"/>
  <c r="J38" i="40"/>
  <c r="G36" i="40"/>
  <c r="O35" i="40"/>
  <c r="S51" i="30"/>
  <c r="S39" i="30" s="1"/>
  <c r="N36" i="40"/>
  <c r="AL52" i="36"/>
  <c r="AL40" i="36" s="1"/>
  <c r="T26" i="30"/>
  <c r="AL27" i="35"/>
  <c r="AL28" i="35"/>
  <c r="AL26" i="31"/>
  <c r="AL51" i="31" s="1"/>
  <c r="AL39" i="31" s="1"/>
  <c r="AD4" i="31"/>
  <c r="AD3" i="31" s="1"/>
  <c r="AD15" i="31"/>
  <c r="G37" i="40"/>
  <c r="O50" i="40"/>
  <c r="AL51" i="36"/>
  <c r="AL39" i="36" s="1"/>
  <c r="O37" i="40"/>
  <c r="AL41" i="36"/>
  <c r="F35" i="40"/>
  <c r="AL55" i="36"/>
  <c r="AL68" i="36" s="1"/>
  <c r="AL69" i="36" s="1"/>
  <c r="AL70" i="36" s="1" a="1"/>
  <c r="AL70" i="36" s="1"/>
  <c r="AL28" i="36"/>
  <c r="AL27" i="36"/>
  <c r="Q51" i="30"/>
  <c r="AF52" i="38"/>
  <c r="AF40" i="38" s="1"/>
  <c r="AF3" i="38"/>
  <c r="AL26" i="38"/>
  <c r="AL26" i="33"/>
  <c r="AL55" i="33" s="1"/>
  <c r="AL68" i="33" s="1"/>
  <c r="AL69" i="33" s="1"/>
  <c r="AL70" i="33" s="1" a="1"/>
  <c r="AL70" i="33" s="1"/>
  <c r="S72" i="30"/>
  <c r="S41" i="30"/>
  <c r="AG3" i="38"/>
  <c r="AG3" i="30"/>
  <c r="H3" i="37"/>
  <c r="Z3" i="33"/>
  <c r="R26" i="36"/>
  <c r="X26" i="31"/>
  <c r="R26" i="30"/>
  <c r="O26" i="28"/>
  <c r="X26" i="36"/>
  <c r="T3" i="32"/>
  <c r="AE3" i="36"/>
  <c r="AD26" i="28"/>
  <c r="AD54" i="28" s="1"/>
  <c r="AD67" i="28" s="1"/>
  <c r="W26" i="31"/>
  <c r="AC3" i="29"/>
  <c r="AH26" i="35"/>
  <c r="S26" i="33"/>
  <c r="J3" i="31"/>
  <c r="R3" i="36"/>
  <c r="X3" i="31"/>
  <c r="N26" i="32"/>
  <c r="K26" i="36"/>
  <c r="AK3" i="31"/>
  <c r="O3" i="28"/>
  <c r="AE26" i="31"/>
  <c r="T26" i="32"/>
  <c r="AE26" i="36"/>
  <c r="AG3" i="33"/>
  <c r="N3" i="37"/>
  <c r="W3" i="31"/>
  <c r="L3" i="33"/>
  <c r="AH3" i="35"/>
  <c r="D38" i="40"/>
  <c r="D52" i="40"/>
  <c r="C27" i="16"/>
  <c r="C27" i="28" s="1"/>
  <c r="C27" i="29" s="1"/>
  <c r="C27" i="30" s="1"/>
  <c r="C27" i="31" s="1"/>
  <c r="C27" i="32" s="1"/>
  <c r="C27" i="33" s="1"/>
  <c r="C27" i="34" s="1"/>
  <c r="C27" i="35" s="1"/>
  <c r="C27" i="36" s="1"/>
  <c r="C27" i="37" s="1"/>
  <c r="L26" i="35"/>
  <c r="AC26" i="37"/>
  <c r="D37" i="40"/>
  <c r="D51" i="40"/>
  <c r="AJ26" i="29"/>
  <c r="R26" i="33"/>
  <c r="R3" i="30"/>
  <c r="AF26" i="36"/>
  <c r="Y3" i="33"/>
  <c r="V3" i="37"/>
  <c r="AC26" i="29"/>
  <c r="O3" i="37"/>
  <c r="K3" i="36"/>
  <c r="AK26" i="31"/>
  <c r="AA3" i="35"/>
  <c r="S27" i="30"/>
  <c r="S28" i="30"/>
  <c r="S55" i="30"/>
  <c r="S68" i="30" s="1"/>
  <c r="S69" i="30" s="1"/>
  <c r="S70" i="30" s="1" a="1"/>
  <c r="S70" i="30" s="1"/>
  <c r="AE3" i="31"/>
  <c r="S3" i="35"/>
  <c r="S3" i="33"/>
  <c r="AG26" i="33"/>
  <c r="N26" i="37"/>
  <c r="AD3" i="28"/>
  <c r="H3" i="28"/>
  <c r="L26" i="33"/>
  <c r="J26" i="31"/>
  <c r="L3" i="35"/>
  <c r="AJ3" i="29"/>
  <c r="U3" i="32"/>
  <c r="M3" i="35"/>
  <c r="P26" i="28"/>
  <c r="P54" i="28" s="1"/>
  <c r="P67" i="28" s="1"/>
  <c r="AG26" i="38"/>
  <c r="AG54" i="38" s="1"/>
  <c r="AG67" i="38" s="1"/>
  <c r="AA26" i="35"/>
  <c r="AJ26" i="34"/>
  <c r="K3" i="30"/>
  <c r="S26" i="35"/>
  <c r="D32" i="40"/>
  <c r="D46" i="40"/>
  <c r="H26" i="28"/>
  <c r="AD26" i="34"/>
  <c r="H26" i="29"/>
  <c r="AC3" i="34"/>
  <c r="AC3" i="37"/>
  <c r="AD26" i="31"/>
  <c r="P26" i="34"/>
  <c r="AJ3" i="37"/>
  <c r="W26" i="28"/>
  <c r="W54" i="28" s="1"/>
  <c r="W67" i="28" s="1"/>
  <c r="J26" i="36"/>
  <c r="P3" i="28"/>
  <c r="AF26" i="30"/>
  <c r="AH26" i="38"/>
  <c r="AJ3" i="34"/>
  <c r="D35" i="40"/>
  <c r="D49" i="40"/>
  <c r="K26" i="30"/>
  <c r="R26" i="16"/>
  <c r="Z26" i="35"/>
  <c r="D33" i="40"/>
  <c r="D47" i="40"/>
  <c r="S26" i="16"/>
  <c r="S54" i="16" s="1"/>
  <c r="AD3" i="34"/>
  <c r="H3" i="29"/>
  <c r="AB26" i="29"/>
  <c r="AC26" i="34"/>
  <c r="N3" i="29"/>
  <c r="W3" i="34"/>
  <c r="X3" i="36"/>
  <c r="AI3" i="32"/>
  <c r="V3" i="29"/>
  <c r="AI3" i="37"/>
  <c r="W3" i="28"/>
  <c r="J3" i="36"/>
  <c r="Z26" i="30"/>
  <c r="AF3" i="30"/>
  <c r="AH3" i="38"/>
  <c r="S52" i="30"/>
  <c r="Y26" i="33"/>
  <c r="AF26" i="33"/>
  <c r="D30" i="40"/>
  <c r="D44" i="40"/>
  <c r="C23" i="16"/>
  <c r="C22" i="16" s="1"/>
  <c r="R3" i="16"/>
  <c r="V26" i="37"/>
  <c r="S3" i="16"/>
  <c r="K26" i="16"/>
  <c r="AH3" i="32"/>
  <c r="V3" i="34"/>
  <c r="Q3" i="31"/>
  <c r="N26" i="29"/>
  <c r="AC26" i="28"/>
  <c r="AG3" i="16"/>
  <c r="T3" i="38"/>
  <c r="AF3" i="36"/>
  <c r="H26" i="37"/>
  <c r="D36" i="40"/>
  <c r="D50" i="40"/>
  <c r="Z26" i="33"/>
  <c r="AF3" i="33"/>
  <c r="Z3" i="35"/>
  <c r="K3" i="16"/>
  <c r="AH26" i="32"/>
  <c r="V26" i="34"/>
  <c r="AB3" i="29"/>
  <c r="Q26" i="31"/>
  <c r="AB26" i="32"/>
  <c r="AB51" i="32" s="1"/>
  <c r="AB39" i="32" s="1"/>
  <c r="L3" i="30"/>
  <c r="M3" i="38"/>
  <c r="AD26" i="29"/>
  <c r="AD54" i="29" s="1"/>
  <c r="AD67" i="29" s="1"/>
  <c r="AL52" i="34"/>
  <c r="AL27" i="34"/>
  <c r="AL28" i="34"/>
  <c r="AL55" i="34"/>
  <c r="AL68" i="34" s="1"/>
  <c r="AL69" i="34" s="1"/>
  <c r="AL70" i="34" s="1" a="1"/>
  <c r="AL70" i="34" s="1"/>
  <c r="W26" i="16"/>
  <c r="W52" i="16" s="1"/>
  <c r="W40" i="16" s="1"/>
  <c r="AA26" i="36"/>
  <c r="Q26" i="36"/>
  <c r="O26" i="37"/>
  <c r="O52" i="37" s="1"/>
  <c r="O40" i="37" s="1"/>
  <c r="AC26" i="36"/>
  <c r="AC51" i="36" s="1"/>
  <c r="AC39" i="36" s="1"/>
  <c r="AD26" i="30"/>
  <c r="X26" i="32"/>
  <c r="X52" i="32" s="1"/>
  <c r="X40" i="32" s="1"/>
  <c r="Q26" i="35"/>
  <c r="AJ26" i="30"/>
  <c r="AK26" i="29"/>
  <c r="AK54" i="29" s="1"/>
  <c r="AK67" i="29" s="1"/>
  <c r="Q26" i="33"/>
  <c r="Q52" i="33" s="1"/>
  <c r="Q40" i="33" s="1"/>
  <c r="Y3" i="16"/>
  <c r="W26" i="38"/>
  <c r="AB26" i="28"/>
  <c r="AD26" i="35"/>
  <c r="AD52" i="35" s="1"/>
  <c r="AD40" i="35" s="1"/>
  <c r="AG3" i="34"/>
  <c r="AC26" i="31"/>
  <c r="AC52" i="31" s="1"/>
  <c r="W26" i="32"/>
  <c r="AD26" i="16"/>
  <c r="AD52" i="16" s="1"/>
  <c r="AD40" i="16" s="1"/>
  <c r="W3" i="30"/>
  <c r="N26" i="36"/>
  <c r="N52" i="36" s="1"/>
  <c r="N40" i="36" s="1"/>
  <c r="J3" i="29"/>
  <c r="S26" i="28"/>
  <c r="AE3" i="32"/>
  <c r="AC26" i="38"/>
  <c r="M3" i="30"/>
  <c r="I26" i="28"/>
  <c r="AM43" i="28"/>
  <c r="AM57" i="28" s="1"/>
  <c r="Z26" i="32"/>
  <c r="Z52" i="32" s="1"/>
  <c r="Z40" i="32" s="1"/>
  <c r="AL27" i="30"/>
  <c r="AL28" i="30"/>
  <c r="AL55" i="30"/>
  <c r="AL68" i="30" s="1"/>
  <c r="AL69" i="30" s="1"/>
  <c r="AL70" i="30" s="1" a="1"/>
  <c r="AL70" i="30" s="1"/>
  <c r="Y26" i="28"/>
  <c r="AG26" i="16"/>
  <c r="K3" i="34"/>
  <c r="AH26" i="28"/>
  <c r="AH52" i="28" s="1"/>
  <c r="AH40" i="28" s="1"/>
  <c r="S26" i="29"/>
  <c r="W26" i="30"/>
  <c r="AM43" i="33"/>
  <c r="AM57" i="33" s="1"/>
  <c r="H26" i="33"/>
  <c r="H52" i="33" s="1"/>
  <c r="L26" i="29"/>
  <c r="N3" i="36"/>
  <c r="J26" i="29"/>
  <c r="H3" i="31"/>
  <c r="AH3" i="37"/>
  <c r="I26" i="34"/>
  <c r="I52" i="34" s="1"/>
  <c r="M26" i="31"/>
  <c r="M51" i="31" s="1"/>
  <c r="AK26" i="36"/>
  <c r="AK52" i="36" s="1"/>
  <c r="AK40" i="36" s="1"/>
  <c r="W3" i="38"/>
  <c r="AJ26" i="32"/>
  <c r="AJ54" i="32" s="1"/>
  <c r="AJ67" i="32" s="1"/>
  <c r="L26" i="37"/>
  <c r="V26" i="32"/>
  <c r="V54" i="32" s="1"/>
  <c r="V67" i="32" s="1"/>
  <c r="I75" i="16"/>
  <c r="S3" i="29"/>
  <c r="AM4" i="33"/>
  <c r="J7" i="40" s="1"/>
  <c r="H3" i="33"/>
  <c r="L3" i="29"/>
  <c r="AD3" i="37"/>
  <c r="AB26" i="34"/>
  <c r="AB52" i="34" s="1"/>
  <c r="AB40" i="34" s="1"/>
  <c r="AM43" i="30"/>
  <c r="AM57" i="30" s="1"/>
  <c r="H26" i="30"/>
  <c r="V26" i="16"/>
  <c r="V67" i="16" s="1"/>
  <c r="AA3" i="37"/>
  <c r="AE26" i="33"/>
  <c r="AE52" i="33" s="1"/>
  <c r="AE40" i="33" s="1"/>
  <c r="S26" i="32"/>
  <c r="L26" i="38"/>
  <c r="AE26" i="30"/>
  <c r="AE52" i="30" s="1"/>
  <c r="AE40" i="30" s="1"/>
  <c r="K26" i="33"/>
  <c r="T3" i="28"/>
  <c r="AH26" i="29"/>
  <c r="AH52" i="29" s="1"/>
  <c r="AH40" i="29" s="1"/>
  <c r="AB4" i="31"/>
  <c r="AB43" i="31"/>
  <c r="AB57" i="31" s="1"/>
  <c r="AB15" i="31"/>
  <c r="K26" i="37"/>
  <c r="K52" i="37" s="1"/>
  <c r="K40" i="37" s="1"/>
  <c r="T3" i="31"/>
  <c r="R26" i="28"/>
  <c r="AE26" i="35"/>
  <c r="AE51" i="35" s="1"/>
  <c r="AE39" i="35" s="1"/>
  <c r="I26" i="31"/>
  <c r="Q26" i="29"/>
  <c r="AM4" i="32"/>
  <c r="I7" i="40" s="1"/>
  <c r="U3" i="16"/>
  <c r="Z26" i="34"/>
  <c r="Z51" i="34" s="1"/>
  <c r="Z39" i="34" s="1"/>
  <c r="AM15" i="37"/>
  <c r="N13" i="40" s="1"/>
  <c r="AA26" i="31"/>
  <c r="AK26" i="30"/>
  <c r="N33" i="40"/>
  <c r="N47" i="40"/>
  <c r="AB3" i="38"/>
  <c r="M26" i="34"/>
  <c r="Y3" i="32"/>
  <c r="AF3" i="37"/>
  <c r="AL55" i="29"/>
  <c r="AL68" i="29" s="1"/>
  <c r="U26" i="33"/>
  <c r="AK26" i="16"/>
  <c r="AK52" i="16" s="1"/>
  <c r="AK40" i="16" s="1"/>
  <c r="AE3" i="34"/>
  <c r="AD3" i="36"/>
  <c r="W3" i="16"/>
  <c r="AI3" i="29"/>
  <c r="AA3" i="36"/>
  <c r="K26" i="34"/>
  <c r="AD3" i="30"/>
  <c r="X3" i="32"/>
  <c r="J26" i="38"/>
  <c r="J26" i="32"/>
  <c r="J52" i="32" s="1"/>
  <c r="J40" i="32" s="1"/>
  <c r="Q3" i="35"/>
  <c r="AJ3" i="30"/>
  <c r="O3" i="35"/>
  <c r="Q26" i="38"/>
  <c r="J32" i="40"/>
  <c r="J46" i="40"/>
  <c r="AA3" i="29"/>
  <c r="M3" i="29"/>
  <c r="J26" i="28"/>
  <c r="J51" i="28" s="1"/>
  <c r="J33" i="40"/>
  <c r="J47" i="40"/>
  <c r="Y3" i="34"/>
  <c r="AA26" i="29"/>
  <c r="AA52" i="29" s="1"/>
  <c r="AF26" i="16"/>
  <c r="AI26" i="31"/>
  <c r="AM15" i="32"/>
  <c r="I13" i="40" s="1"/>
  <c r="H70" i="16" a="1"/>
  <c r="H70" i="16" s="1"/>
  <c r="K26" i="31"/>
  <c r="K54" i="31" s="1"/>
  <c r="K67" i="31" s="1"/>
  <c r="M26" i="29"/>
  <c r="V26" i="31"/>
  <c r="V52" i="31" s="1"/>
  <c r="V40" i="31" s="1"/>
  <c r="AH26" i="37"/>
  <c r="AB3" i="37"/>
  <c r="Q3" i="36"/>
  <c r="T26" i="38"/>
  <c r="T52" i="38" s="1"/>
  <c r="T40" i="38" s="1"/>
  <c r="AL3" i="33"/>
  <c r="AD3" i="16"/>
  <c r="AG26" i="32"/>
  <c r="AG52" i="32" s="1"/>
  <c r="AG40" i="32" s="1"/>
  <c r="AK26" i="32"/>
  <c r="M3" i="36"/>
  <c r="AK3" i="38"/>
  <c r="S3" i="28"/>
  <c r="P26" i="37"/>
  <c r="P54" i="37" s="1"/>
  <c r="P67" i="37" s="1"/>
  <c r="AH3" i="29"/>
  <c r="S3" i="34"/>
  <c r="J26" i="34"/>
  <c r="J54" i="34" s="1"/>
  <c r="J67" i="34" s="1"/>
  <c r="F30" i="40"/>
  <c r="F44" i="40"/>
  <c r="K3" i="31"/>
  <c r="T26" i="33"/>
  <c r="T54" i="33" s="1"/>
  <c r="T67" i="33" s="1"/>
  <c r="R26" i="35"/>
  <c r="R52" i="35" s="1"/>
  <c r="AD3" i="29"/>
  <c r="AF26" i="37"/>
  <c r="O26" i="33"/>
  <c r="O51" i="33" s="1"/>
  <c r="O39" i="33" s="1"/>
  <c r="AB26" i="37"/>
  <c r="V26" i="35"/>
  <c r="X26" i="35"/>
  <c r="AM15" i="34"/>
  <c r="K13" i="40" s="1"/>
  <c r="X3" i="33"/>
  <c r="X26" i="29"/>
  <c r="AH26" i="33"/>
  <c r="AH54" i="33" s="1"/>
  <c r="AH67" i="33" s="1"/>
  <c r="F34" i="40"/>
  <c r="F48" i="40"/>
  <c r="V3" i="32"/>
  <c r="AD26" i="38"/>
  <c r="AD51" i="38" s="1"/>
  <c r="AD39" i="38" s="1"/>
  <c r="T26" i="29"/>
  <c r="T52" i="29" s="1"/>
  <c r="T40" i="29" s="1"/>
  <c r="AA3" i="16"/>
  <c r="W26" i="34"/>
  <c r="W52" i="34" s="1"/>
  <c r="AK3" i="32"/>
  <c r="AD26" i="37"/>
  <c r="AD54" i="37" s="1"/>
  <c r="AD67" i="37" s="1"/>
  <c r="T26" i="36"/>
  <c r="AG26" i="31"/>
  <c r="AM4" i="30"/>
  <c r="G7" i="40" s="1"/>
  <c r="H3" i="30"/>
  <c r="V3" i="16"/>
  <c r="Z26" i="28"/>
  <c r="Y26" i="29"/>
  <c r="Y52" i="29" s="1"/>
  <c r="Y40" i="29" s="1"/>
  <c r="AG26" i="35"/>
  <c r="W26" i="37"/>
  <c r="W54" i="37" s="1"/>
  <c r="AH26" i="31"/>
  <c r="AH51" i="31" s="1"/>
  <c r="AH39" i="31" s="1"/>
  <c r="J26" i="16"/>
  <c r="J51" i="16" s="1"/>
  <c r="AM43" i="16"/>
  <c r="AM57" i="16" s="1"/>
  <c r="AI26" i="32"/>
  <c r="AI52" i="32" s="1"/>
  <c r="AI40" i="32" s="1"/>
  <c r="S26" i="31"/>
  <c r="P26" i="16"/>
  <c r="P51" i="16" s="1"/>
  <c r="P39" i="16" s="1"/>
  <c r="N3" i="34"/>
  <c r="AE26" i="29"/>
  <c r="P26" i="38"/>
  <c r="P52" i="38" s="1"/>
  <c r="P40" i="38" s="1"/>
  <c r="U26" i="30"/>
  <c r="AF26" i="32"/>
  <c r="K3" i="37"/>
  <c r="X26" i="37"/>
  <c r="W26" i="35"/>
  <c r="W51" i="35" s="1"/>
  <c r="W39" i="35" s="1"/>
  <c r="J26" i="35"/>
  <c r="AE26" i="37"/>
  <c r="V26" i="29"/>
  <c r="V52" i="29" s="1"/>
  <c r="V40" i="29" s="1"/>
  <c r="N34" i="40"/>
  <c r="N48" i="40"/>
  <c r="AM15" i="29"/>
  <c r="F13" i="40" s="1"/>
  <c r="N26" i="31"/>
  <c r="Y26" i="37"/>
  <c r="Y52" i="37" s="1"/>
  <c r="Y40" i="37" s="1"/>
  <c r="AA26" i="38"/>
  <c r="AA52" i="38" s="1"/>
  <c r="AG26" i="30"/>
  <c r="AG52" i="30" s="1"/>
  <c r="AG40" i="30" s="1"/>
  <c r="AM15" i="16"/>
  <c r="D13" i="40" s="1"/>
  <c r="AB26" i="16"/>
  <c r="U3" i="33"/>
  <c r="G32" i="40"/>
  <c r="G46" i="40"/>
  <c r="AD26" i="36"/>
  <c r="AI26" i="29"/>
  <c r="K26" i="29"/>
  <c r="K52" i="29" s="1"/>
  <c r="K40" i="29" s="1"/>
  <c r="Z26" i="16"/>
  <c r="AL26" i="16"/>
  <c r="J3" i="38"/>
  <c r="AA3" i="30"/>
  <c r="J3" i="32"/>
  <c r="O26" i="35"/>
  <c r="X26" i="30"/>
  <c r="X52" i="30" s="1"/>
  <c r="X40" i="30" s="1"/>
  <c r="S26" i="36"/>
  <c r="S54" i="36" s="1"/>
  <c r="S67" i="36" s="1"/>
  <c r="V3" i="28"/>
  <c r="L3" i="37"/>
  <c r="I3" i="31"/>
  <c r="M26" i="37"/>
  <c r="M52" i="37" s="1"/>
  <c r="M40" i="37" s="1"/>
  <c r="N26" i="38"/>
  <c r="N54" i="38" s="1"/>
  <c r="N67" i="38" s="1"/>
  <c r="O26" i="38"/>
  <c r="AA26" i="32"/>
  <c r="AM4" i="35"/>
  <c r="L7" i="40" s="1"/>
  <c r="H3" i="35"/>
  <c r="AK26" i="37"/>
  <c r="AK54" i="37" s="1"/>
  <c r="AK67" i="37" s="1"/>
  <c r="AM43" i="37"/>
  <c r="AM57" i="37" s="1"/>
  <c r="I26" i="37"/>
  <c r="I54" i="37" s="1"/>
  <c r="I67" i="37" s="1"/>
  <c r="J36" i="40"/>
  <c r="J50" i="40"/>
  <c r="AA26" i="33"/>
  <c r="AA54" i="33" s="1"/>
  <c r="AK26" i="35"/>
  <c r="AK52" i="35" s="1"/>
  <c r="AK40" i="35" s="1"/>
  <c r="Y26" i="32"/>
  <c r="AG26" i="36"/>
  <c r="AG54" i="36" s="1"/>
  <c r="AG67" i="36" s="1"/>
  <c r="AM15" i="35"/>
  <c r="L13" i="40" s="1"/>
  <c r="S3" i="31"/>
  <c r="N26" i="35"/>
  <c r="N54" i="35" s="1"/>
  <c r="N67" i="35" s="1"/>
  <c r="U26" i="16"/>
  <c r="U67" i="16" s="1"/>
  <c r="AK3" i="37"/>
  <c r="T26" i="28"/>
  <c r="T52" i="28" s="1"/>
  <c r="T40" i="28" s="1"/>
  <c r="AB26" i="38"/>
  <c r="AB54" i="38" s="1"/>
  <c r="AB67" i="38" s="1"/>
  <c r="AE26" i="34"/>
  <c r="AE54" i="34" s="1"/>
  <c r="AE67" i="34" s="1"/>
  <c r="X26" i="28"/>
  <c r="X52" i="28" s="1"/>
  <c r="X40" i="28" s="1"/>
  <c r="P26" i="32"/>
  <c r="P54" i="32" s="1"/>
  <c r="P67" i="32" s="1"/>
  <c r="AJ3" i="32"/>
  <c r="AI26" i="37"/>
  <c r="J3" i="33"/>
  <c r="H26" i="34"/>
  <c r="H54" i="34" s="1"/>
  <c r="H67" i="34" s="1"/>
  <c r="AM43" i="34"/>
  <c r="AM57" i="34" s="1"/>
  <c r="AJ26" i="36"/>
  <c r="AM15" i="36"/>
  <c r="M13" i="40" s="1"/>
  <c r="AI26" i="36"/>
  <c r="AI51" i="36" s="1"/>
  <c r="L26" i="32"/>
  <c r="L51" i="32" s="1"/>
  <c r="L39" i="32" s="1"/>
  <c r="Q26" i="37"/>
  <c r="L26" i="31"/>
  <c r="AJ26" i="38"/>
  <c r="AA26" i="16"/>
  <c r="AA52" i="16" s="1"/>
  <c r="AA40" i="16" s="1"/>
  <c r="R3" i="38"/>
  <c r="X26" i="38"/>
  <c r="AG26" i="29"/>
  <c r="AF26" i="31"/>
  <c r="AF54" i="31" s="1"/>
  <c r="AF67" i="31" s="1"/>
  <c r="T3" i="36"/>
  <c r="AG3" i="31"/>
  <c r="V26" i="30"/>
  <c r="V52" i="30" s="1"/>
  <c r="V40" i="30" s="1"/>
  <c r="K3" i="35"/>
  <c r="Z3" i="28"/>
  <c r="Y3" i="29"/>
  <c r="P26" i="29"/>
  <c r="P54" i="29" s="1"/>
  <c r="P67" i="29" s="1"/>
  <c r="AE3" i="33"/>
  <c r="AF26" i="29"/>
  <c r="AF51" i="29" s="1"/>
  <c r="W3" i="37"/>
  <c r="J35" i="40"/>
  <c r="J49" i="40"/>
  <c r="N26" i="34"/>
  <c r="AC26" i="33"/>
  <c r="AC52" i="33" s="1"/>
  <c r="AC40" i="33" s="1"/>
  <c r="U26" i="38"/>
  <c r="U54" i="38" s="1"/>
  <c r="P3" i="38"/>
  <c r="AF3" i="32"/>
  <c r="X3" i="37"/>
  <c r="AI3" i="33"/>
  <c r="J26" i="30"/>
  <c r="U26" i="29"/>
  <c r="P26" i="35"/>
  <c r="P52" i="35" s="1"/>
  <c r="P40" i="35" s="1"/>
  <c r="N26" i="16"/>
  <c r="N52" i="16" s="1"/>
  <c r="N40" i="16" s="1"/>
  <c r="M26" i="33"/>
  <c r="M54" i="33" s="1"/>
  <c r="M67" i="33" s="1"/>
  <c r="K26" i="32"/>
  <c r="I26" i="29"/>
  <c r="I54" i="29" s="1"/>
  <c r="I67" i="29" s="1"/>
  <c r="AM43" i="29"/>
  <c r="AM57" i="29" s="1"/>
  <c r="Z26" i="37"/>
  <c r="AE26" i="38"/>
  <c r="AE54" i="38" s="1"/>
  <c r="AE67" i="38" s="1"/>
  <c r="M26" i="38"/>
  <c r="M52" i="38" s="1"/>
  <c r="M40" i="38" s="1"/>
  <c r="F37" i="40"/>
  <c r="F51" i="40"/>
  <c r="AB26" i="33"/>
  <c r="U3" i="35"/>
  <c r="AM4" i="16"/>
  <c r="D7" i="40" s="1"/>
  <c r="AH3" i="16"/>
  <c r="Z26" i="29"/>
  <c r="O30" i="40"/>
  <c r="O44" i="40"/>
  <c r="AG26" i="37"/>
  <c r="K3" i="28"/>
  <c r="AF26" i="28"/>
  <c r="AA26" i="30"/>
  <c r="AA54" i="30" s="1"/>
  <c r="AA67" i="30" s="1"/>
  <c r="I26" i="32"/>
  <c r="AK3" i="30"/>
  <c r="Y3" i="37"/>
  <c r="K3" i="33"/>
  <c r="W3" i="32"/>
  <c r="N3" i="35"/>
  <c r="AH3" i="30"/>
  <c r="AE3" i="29"/>
  <c r="P3" i="32"/>
  <c r="AK3" i="36"/>
  <c r="AG3" i="32"/>
  <c r="AB3" i="34"/>
  <c r="S26" i="38"/>
  <c r="J26" i="37"/>
  <c r="AA26" i="37"/>
  <c r="AA52" i="37" s="1"/>
  <c r="AA40" i="37" s="1"/>
  <c r="M26" i="36"/>
  <c r="Y3" i="35"/>
  <c r="AK26" i="38"/>
  <c r="O26" i="36"/>
  <c r="S3" i="37"/>
  <c r="S26" i="34"/>
  <c r="S52" i="34" s="1"/>
  <c r="S40" i="34" s="1"/>
  <c r="F33" i="40"/>
  <c r="F47" i="40"/>
  <c r="AJ26" i="37"/>
  <c r="AJ52" i="37" s="1"/>
  <c r="AJ40" i="37" s="1"/>
  <c r="H26" i="31"/>
  <c r="I26" i="38"/>
  <c r="I52" i="38" s="1"/>
  <c r="I40" i="38" s="1"/>
  <c r="Y3" i="38"/>
  <c r="U3" i="36"/>
  <c r="U26" i="34"/>
  <c r="U51" i="34" s="1"/>
  <c r="U39" i="34" s="1"/>
  <c r="X26" i="34"/>
  <c r="X54" i="34" s="1"/>
  <c r="X26" i="33"/>
  <c r="X52" i="33" s="1"/>
  <c r="X40" i="33" s="1"/>
  <c r="L26" i="30"/>
  <c r="L52" i="30" s="1"/>
  <c r="L40" i="30" s="1"/>
  <c r="V26" i="28"/>
  <c r="Q3" i="34"/>
  <c r="AM15" i="30"/>
  <c r="G13" i="40" s="1"/>
  <c r="S3" i="32"/>
  <c r="O26" i="32"/>
  <c r="O54" i="32" s="1"/>
  <c r="O67" i="32" s="1"/>
  <c r="AM4" i="37"/>
  <c r="N7" i="40" s="1"/>
  <c r="I3" i="37"/>
  <c r="Y26" i="38"/>
  <c r="Y52" i="38" s="1"/>
  <c r="Y40" i="38" s="1"/>
  <c r="J48" i="40"/>
  <c r="J34" i="40"/>
  <c r="AF26" i="35"/>
  <c r="AF52" i="35" s="1"/>
  <c r="AF40" i="35" s="1"/>
  <c r="AF26" i="38"/>
  <c r="AF54" i="38" s="1"/>
  <c r="AF67" i="38" s="1"/>
  <c r="AI26" i="16"/>
  <c r="AI52" i="16" s="1"/>
  <c r="AI40" i="16" s="1"/>
  <c r="N46" i="40"/>
  <c r="N32" i="40"/>
  <c r="V26" i="33"/>
  <c r="V52" i="33" s="1"/>
  <c r="V40" i="33" s="1"/>
  <c r="I26" i="35"/>
  <c r="I51" i="35" s="1"/>
  <c r="I39" i="35" s="1"/>
  <c r="O26" i="29"/>
  <c r="O52" i="29" s="1"/>
  <c r="J26" i="33"/>
  <c r="J52" i="33" s="1"/>
  <c r="J40" i="33" s="1"/>
  <c r="F36" i="40"/>
  <c r="F50" i="40"/>
  <c r="H52" i="34"/>
  <c r="AM4" i="34"/>
  <c r="K7" i="40" s="1"/>
  <c r="AJ3" i="36"/>
  <c r="O34" i="40"/>
  <c r="O48" i="40"/>
  <c r="H26" i="36"/>
  <c r="AM43" i="36"/>
  <c r="AM57" i="36" s="1"/>
  <c r="W26" i="29"/>
  <c r="W54" i="29" s="1"/>
  <c r="X3" i="38"/>
  <c r="AG3" i="29"/>
  <c r="AF26" i="34"/>
  <c r="AE26" i="28"/>
  <c r="AE52" i="28" s="1"/>
  <c r="AE40" i="28" s="1"/>
  <c r="Q26" i="28"/>
  <c r="Q52" i="28" s="1"/>
  <c r="Q40" i="28" s="1"/>
  <c r="O26" i="34"/>
  <c r="AF3" i="31"/>
  <c r="AD26" i="33"/>
  <c r="V3" i="30"/>
  <c r="M26" i="32"/>
  <c r="K26" i="35"/>
  <c r="P3" i="29"/>
  <c r="I26" i="30"/>
  <c r="V26" i="36"/>
  <c r="U26" i="37"/>
  <c r="AC3" i="33"/>
  <c r="U3" i="38"/>
  <c r="L26" i="36"/>
  <c r="L54" i="36" s="1"/>
  <c r="L67" i="36" s="1"/>
  <c r="AI26" i="33"/>
  <c r="AI26" i="34"/>
  <c r="AI51" i="34" s="1"/>
  <c r="AI39" i="34" s="1"/>
  <c r="AB26" i="30"/>
  <c r="AB54" i="30" s="1"/>
  <c r="AB67" i="30" s="1"/>
  <c r="AL27" i="37"/>
  <c r="AL28" i="37"/>
  <c r="AL55" i="37"/>
  <c r="AL68" i="37" s="1"/>
  <c r="AL69" i="37" s="1"/>
  <c r="AL70" i="37" s="1" a="1"/>
  <c r="AL70" i="37" s="1"/>
  <c r="AM4" i="29"/>
  <c r="F7" i="40" s="1"/>
  <c r="AH26" i="36"/>
  <c r="W26" i="33"/>
  <c r="M26" i="28"/>
  <c r="M52" i="28" s="1"/>
  <c r="M40" i="28" s="1"/>
  <c r="P26" i="33"/>
  <c r="X26" i="16"/>
  <c r="AC26" i="32"/>
  <c r="AC54" i="32" s="1"/>
  <c r="P26" i="30"/>
  <c r="AI26" i="30"/>
  <c r="AJ26" i="33"/>
  <c r="AJ51" i="33" s="1"/>
  <c r="AJ39" i="33" s="1"/>
  <c r="U26" i="32"/>
  <c r="U52" i="32" s="1"/>
  <c r="U40" i="32" s="1"/>
  <c r="U26" i="35"/>
  <c r="U54" i="35" s="1"/>
  <c r="U67" i="35" s="1"/>
  <c r="U26" i="28"/>
  <c r="AH26" i="16"/>
  <c r="AH52" i="16" s="1"/>
  <c r="AH40" i="16" s="1"/>
  <c r="R26" i="34"/>
  <c r="W26" i="36"/>
  <c r="W51" i="36" s="1"/>
  <c r="W39" i="36" s="1"/>
  <c r="Y26" i="30"/>
  <c r="Y54" i="30" s="1"/>
  <c r="Y67" i="30" s="1"/>
  <c r="T26" i="16"/>
  <c r="T51" i="16" s="1"/>
  <c r="T39" i="16" s="1"/>
  <c r="Z26" i="36"/>
  <c r="Z54" i="36" s="1"/>
  <c r="K26" i="38"/>
  <c r="K52" i="38" s="1"/>
  <c r="K40" i="38" s="1"/>
  <c r="K26" i="28"/>
  <c r="L26" i="16"/>
  <c r="G52" i="40"/>
  <c r="G38" i="40"/>
  <c r="K3" i="29"/>
  <c r="AF3" i="28"/>
  <c r="O26" i="31"/>
  <c r="O52" i="31" s="1"/>
  <c r="O40" i="31" s="1"/>
  <c r="R3" i="29"/>
  <c r="AM43" i="38"/>
  <c r="AM57" i="38" s="1"/>
  <c r="H26" i="38"/>
  <c r="T3" i="37"/>
  <c r="Y26" i="36"/>
  <c r="Y52" i="36" s="1"/>
  <c r="M26" i="16"/>
  <c r="M51" i="16" s="1"/>
  <c r="M39" i="16" s="1"/>
  <c r="R26" i="37"/>
  <c r="R51" i="37" s="1"/>
  <c r="R39" i="37" s="1"/>
  <c r="AK26" i="33"/>
  <c r="AK51" i="33" s="1"/>
  <c r="AK39" i="33" s="1"/>
  <c r="AD3" i="35"/>
  <c r="N3" i="31"/>
  <c r="N3" i="38"/>
  <c r="P3" i="37"/>
  <c r="O3" i="32"/>
  <c r="AH3" i="33"/>
  <c r="H3" i="34"/>
  <c r="AE3" i="37"/>
  <c r="AE3" i="30"/>
  <c r="Q3" i="32"/>
  <c r="AE3" i="28"/>
  <c r="Y26" i="31"/>
  <c r="O3" i="34"/>
  <c r="AD3" i="33"/>
  <c r="AE26" i="16"/>
  <c r="M3" i="32"/>
  <c r="AK3" i="35"/>
  <c r="H26" i="32"/>
  <c r="AM43" i="32"/>
  <c r="AM57" i="32" s="1"/>
  <c r="V3" i="36"/>
  <c r="L26" i="28"/>
  <c r="AM4" i="28"/>
  <c r="E7" i="40" s="1"/>
  <c r="AA3" i="28"/>
  <c r="L26" i="34"/>
  <c r="N37" i="40"/>
  <c r="N51" i="40"/>
  <c r="Y26" i="16"/>
  <c r="T26" i="34"/>
  <c r="T52" i="34" s="1"/>
  <c r="T40" i="34" s="1"/>
  <c r="AI26" i="38"/>
  <c r="AI54" i="38" s="1"/>
  <c r="AI67" i="38" s="1"/>
  <c r="AG26" i="28"/>
  <c r="AG51" i="28" s="1"/>
  <c r="AG39" i="28" s="1"/>
  <c r="P3" i="35"/>
  <c r="AB3" i="30"/>
  <c r="J51" i="40"/>
  <c r="J37" i="40"/>
  <c r="AA3" i="31"/>
  <c r="M26" i="35"/>
  <c r="M52" i="35" s="1"/>
  <c r="R26" i="32"/>
  <c r="AB26" i="36"/>
  <c r="AB51" i="36" s="1"/>
  <c r="AB39" i="36" s="1"/>
  <c r="M3" i="28"/>
  <c r="Q27" i="30"/>
  <c r="Q28" i="30"/>
  <c r="Q55" i="30"/>
  <c r="Q68" i="30" s="1"/>
  <c r="Q69" i="30" s="1"/>
  <c r="Q70" i="30" s="1" a="1"/>
  <c r="Q70" i="30" s="1"/>
  <c r="AH26" i="34"/>
  <c r="AD26" i="32"/>
  <c r="N26" i="30"/>
  <c r="AH26" i="30"/>
  <c r="AH54" i="30" s="1"/>
  <c r="AH67" i="30" s="1"/>
  <c r="Q26" i="16"/>
  <c r="Q51" i="16" s="1"/>
  <c r="Q39" i="16" s="1"/>
  <c r="R3" i="34"/>
  <c r="Y3" i="30"/>
  <c r="AK26" i="34"/>
  <c r="AK51" i="34" s="1"/>
  <c r="AK39" i="34" s="1"/>
  <c r="Z26" i="38"/>
  <c r="V26" i="38"/>
  <c r="I26" i="36"/>
  <c r="I51" i="36" s="1"/>
  <c r="I39" i="36" s="1"/>
  <c r="AI3" i="28"/>
  <c r="O3" i="31"/>
  <c r="R26" i="29"/>
  <c r="R52" i="29" s="1"/>
  <c r="R40" i="29" s="1"/>
  <c r="AM4" i="38"/>
  <c r="O7" i="40" s="1"/>
  <c r="H3" i="38"/>
  <c r="I26" i="33"/>
  <c r="AL52" i="29"/>
  <c r="AL40" i="29" s="1"/>
  <c r="T26" i="37"/>
  <c r="AC3" i="35"/>
  <c r="AJ26" i="35"/>
  <c r="AI26" i="35"/>
  <c r="AI54" i="35" s="1"/>
  <c r="AI67" i="35" s="1"/>
  <c r="X3" i="28"/>
  <c r="V3" i="35"/>
  <c r="AJ3" i="38"/>
  <c r="U3" i="28"/>
  <c r="AC3" i="38"/>
  <c r="Z3" i="37"/>
  <c r="T3" i="29"/>
  <c r="N26" i="33"/>
  <c r="V3" i="33"/>
  <c r="AA26" i="34"/>
  <c r="O26" i="30"/>
  <c r="O51" i="30" s="1"/>
  <c r="O39" i="30" s="1"/>
  <c r="O26" i="16"/>
  <c r="O67" i="16" s="1"/>
  <c r="N26" i="28"/>
  <c r="AM4" i="36"/>
  <c r="M7" i="40" s="1"/>
  <c r="AJ26" i="16"/>
  <c r="AJ52" i="16" s="1"/>
  <c r="AJ40" i="16" s="1"/>
  <c r="N3" i="33"/>
  <c r="O3" i="16"/>
  <c r="AG26" i="34"/>
  <c r="N3" i="28"/>
  <c r="Y26" i="34"/>
  <c r="O33" i="40"/>
  <c r="O47" i="40"/>
  <c r="R26" i="38"/>
  <c r="O3" i="38"/>
  <c r="T26" i="35"/>
  <c r="T51" i="35" s="1"/>
  <c r="T39" i="35" s="1"/>
  <c r="AA3" i="32"/>
  <c r="AM15" i="33"/>
  <c r="J13" i="40" s="1"/>
  <c r="Q3" i="28"/>
  <c r="I3" i="38"/>
  <c r="AF3" i="16"/>
  <c r="S3" i="38"/>
  <c r="Q26" i="34"/>
  <c r="Q54" i="34" s="1"/>
  <c r="Q67" i="34" s="1"/>
  <c r="AE3" i="16"/>
  <c r="Y26" i="35"/>
  <c r="H26" i="35"/>
  <c r="AM43" i="35"/>
  <c r="AM57" i="35" s="1"/>
  <c r="AJ26" i="31"/>
  <c r="AJ54" i="31" s="1"/>
  <c r="AJ67" i="31" s="1"/>
  <c r="AA26" i="28"/>
  <c r="L3" i="34"/>
  <c r="S26" i="37"/>
  <c r="AE26" i="32"/>
  <c r="AE52" i="32" s="1"/>
  <c r="AE40" i="32" s="1"/>
  <c r="T3" i="34"/>
  <c r="R26" i="31"/>
  <c r="R54" i="31" s="1"/>
  <c r="R67" i="31" s="1"/>
  <c r="AM14" i="31"/>
  <c r="H12" i="40" s="1"/>
  <c r="P12" i="40" s="1"/>
  <c r="P26" i="36"/>
  <c r="P51" i="36" s="1"/>
  <c r="P39" i="36" s="1"/>
  <c r="M26" i="30"/>
  <c r="M54" i="30" s="1"/>
  <c r="M67" i="30" s="1"/>
  <c r="AB26" i="35"/>
  <c r="AB54" i="35" s="1"/>
  <c r="AC26" i="16"/>
  <c r="AC51" i="16" s="1"/>
  <c r="AC39" i="16" s="1"/>
  <c r="AH3" i="34"/>
  <c r="V3" i="31"/>
  <c r="AC3" i="30"/>
  <c r="AA3" i="33"/>
  <c r="AM15" i="28"/>
  <c r="E13" i="40" s="1"/>
  <c r="Z3" i="32"/>
  <c r="AC26" i="30"/>
  <c r="Q26" i="32"/>
  <c r="AI26" i="28"/>
  <c r="U26" i="36"/>
  <c r="U52" i="36" s="1"/>
  <c r="U40" i="36" s="1"/>
  <c r="AM15" i="38"/>
  <c r="O13" i="40" s="1"/>
  <c r="I3" i="33"/>
  <c r="AC26" i="35"/>
  <c r="U26" i="31"/>
  <c r="U52" i="31" s="1"/>
  <c r="U40" i="31" s="1"/>
  <c r="AJ3" i="16"/>
  <c r="L3" i="36"/>
  <c r="AB3" i="35"/>
  <c r="AH3" i="28"/>
  <c r="R3" i="28"/>
  <c r="X3" i="16"/>
  <c r="L3" i="38"/>
  <c r="M3" i="37"/>
  <c r="AG3" i="35"/>
  <c r="AL28" i="29" l="1"/>
  <c r="T26" i="31"/>
  <c r="AL27" i="29"/>
  <c r="I52" i="28"/>
  <c r="I40" i="28" s="1"/>
  <c r="I54" i="28"/>
  <c r="I67" i="28" s="1"/>
  <c r="AL52" i="38"/>
  <c r="AL40" i="38" s="1"/>
  <c r="AL54" i="38"/>
  <c r="AL67" i="38" s="1"/>
  <c r="H51" i="32"/>
  <c r="H39" i="32" s="1"/>
  <c r="H54" i="32"/>
  <c r="H67" i="32" s="1"/>
  <c r="Y54" i="31"/>
  <c r="Y67" i="31" s="1"/>
  <c r="T52" i="30"/>
  <c r="T40" i="30" s="1"/>
  <c r="T54" i="30"/>
  <c r="AG52" i="16"/>
  <c r="AG40" i="16" s="1"/>
  <c r="AG54" i="16"/>
  <c r="AG67" i="16" s="1"/>
  <c r="Z51" i="16"/>
  <c r="Z39" i="16" s="1"/>
  <c r="Z54" i="16"/>
  <c r="Z67" i="16" s="1"/>
  <c r="L52" i="16"/>
  <c r="L40" i="16" s="1"/>
  <c r="L54" i="16"/>
  <c r="P26" i="31"/>
  <c r="P52" i="31" s="1"/>
  <c r="P40" i="31" s="1"/>
  <c r="T67" i="30"/>
  <c r="AF52" i="16"/>
  <c r="AF40" i="16" s="1"/>
  <c r="O52" i="28"/>
  <c r="O40" i="28" s="1"/>
  <c r="Y52" i="16"/>
  <c r="Y40" i="16" s="1"/>
  <c r="J51" i="30"/>
  <c r="J39" i="30" s="1"/>
  <c r="AC52" i="28"/>
  <c r="AC40" i="28" s="1"/>
  <c r="K52" i="16"/>
  <c r="K40" i="16" s="1"/>
  <c r="H52" i="28"/>
  <c r="H40" i="28" s="1"/>
  <c r="R52" i="16"/>
  <c r="R40" i="16" s="1"/>
  <c r="V52" i="28"/>
  <c r="V40" i="28" s="1"/>
  <c r="W52" i="37"/>
  <c r="W40" i="37" s="1"/>
  <c r="W67" i="37"/>
  <c r="U41" i="35"/>
  <c r="U72" i="35"/>
  <c r="O41" i="32"/>
  <c r="O72" i="32"/>
  <c r="AE52" i="34"/>
  <c r="AE40" i="34" s="1"/>
  <c r="AH52" i="33"/>
  <c r="AH40" i="33" s="1"/>
  <c r="J52" i="34"/>
  <c r="J40" i="34" s="1"/>
  <c r="AI51" i="38"/>
  <c r="AI39" i="38" s="1"/>
  <c r="AB52" i="35"/>
  <c r="AB40" i="35" s="1"/>
  <c r="AB67" i="35"/>
  <c r="L72" i="36"/>
  <c r="L41" i="36"/>
  <c r="N52" i="35"/>
  <c r="N40" i="35" s="1"/>
  <c r="S51" i="36"/>
  <c r="S39" i="36" s="1"/>
  <c r="K52" i="31"/>
  <c r="K40" i="31" s="1"/>
  <c r="R51" i="31"/>
  <c r="R39" i="31" s="1"/>
  <c r="Q52" i="34"/>
  <c r="Q40" i="34" s="1"/>
  <c r="AH52" i="30"/>
  <c r="AH40" i="30" s="1"/>
  <c r="Z52" i="36"/>
  <c r="Z40" i="36" s="1"/>
  <c r="Z67" i="36"/>
  <c r="AC52" i="32"/>
  <c r="AC40" i="32" s="1"/>
  <c r="AC67" i="32"/>
  <c r="U52" i="38"/>
  <c r="U40" i="38" s="1"/>
  <c r="U67" i="38"/>
  <c r="AB52" i="38"/>
  <c r="AB40" i="38" s="1"/>
  <c r="AK52" i="37"/>
  <c r="AK40" i="37" s="1"/>
  <c r="N52" i="38"/>
  <c r="N40" i="38" s="1"/>
  <c r="AJ52" i="32"/>
  <c r="AJ40" i="32" s="1"/>
  <c r="AK52" i="29"/>
  <c r="AK40" i="29" s="1"/>
  <c r="M41" i="30"/>
  <c r="M72" i="30"/>
  <c r="X52" i="34"/>
  <c r="X40" i="34" s="1"/>
  <c r="X67" i="34"/>
  <c r="M52" i="33"/>
  <c r="M40" i="33" s="1"/>
  <c r="AA52" i="33"/>
  <c r="AA40" i="33" s="1"/>
  <c r="AA67" i="33"/>
  <c r="AD72" i="37"/>
  <c r="AD41" i="37"/>
  <c r="T51" i="33"/>
  <c r="T39" i="33" s="1"/>
  <c r="AD52" i="29"/>
  <c r="AD40" i="29" s="1"/>
  <c r="P72" i="37"/>
  <c r="P41" i="37"/>
  <c r="AG51" i="36"/>
  <c r="AG39" i="36" s="1"/>
  <c r="AI52" i="35"/>
  <c r="AI40" i="35" s="1"/>
  <c r="W51" i="29"/>
  <c r="W39" i="29" s="1"/>
  <c r="W67" i="29"/>
  <c r="AA72" i="30"/>
  <c r="AA41" i="30"/>
  <c r="P52" i="29"/>
  <c r="P40" i="29" s="1"/>
  <c r="V52" i="32"/>
  <c r="V40" i="32" s="1"/>
  <c r="AL72" i="34"/>
  <c r="AL41" i="34"/>
  <c r="I52" i="29"/>
  <c r="I40" i="29" s="1"/>
  <c r="AF52" i="31"/>
  <c r="AF40" i="31" s="1"/>
  <c r="I52" i="37"/>
  <c r="I40" i="37" s="1"/>
  <c r="X52" i="35"/>
  <c r="X40" i="35" s="1"/>
  <c r="AE52" i="38"/>
  <c r="AE40" i="38" s="1"/>
  <c r="AE51" i="38"/>
  <c r="AE39" i="38" s="1"/>
  <c r="AL55" i="38"/>
  <c r="AL68" i="38" s="1"/>
  <c r="AL69" i="38" s="1"/>
  <c r="AL70" i="38" s="1" a="1"/>
  <c r="AL70" i="38" s="1"/>
  <c r="AL51" i="38"/>
  <c r="AL39" i="38" s="1"/>
  <c r="AJ51" i="36"/>
  <c r="J51" i="38"/>
  <c r="J39" i="38" s="1"/>
  <c r="Z26" i="31"/>
  <c r="Z55" i="31" s="1"/>
  <c r="Z68" i="31" s="1"/>
  <c r="Z69" i="31" s="1"/>
  <c r="Z70" i="31" s="1" a="1"/>
  <c r="Z70" i="31" s="1"/>
  <c r="AK51" i="30"/>
  <c r="AK39" i="30" s="1"/>
  <c r="W51" i="30"/>
  <c r="W39" i="30" s="1"/>
  <c r="AI51" i="31"/>
  <c r="AI39" i="31" s="1"/>
  <c r="L51" i="29"/>
  <c r="L39" i="29" s="1"/>
  <c r="S51" i="29"/>
  <c r="S39" i="29" s="1"/>
  <c r="S51" i="28"/>
  <c r="S39" i="28" s="1"/>
  <c r="V51" i="16"/>
  <c r="V39" i="16" s="1"/>
  <c r="V51" i="36"/>
  <c r="V39" i="36" s="1"/>
  <c r="Z51" i="28"/>
  <c r="Z39" i="28" s="1"/>
  <c r="AG51" i="37"/>
  <c r="AG39" i="37" s="1"/>
  <c r="Z51" i="29"/>
  <c r="Z39" i="29" s="1"/>
  <c r="Z51" i="37"/>
  <c r="Z39" i="37" s="1"/>
  <c r="Y51" i="32"/>
  <c r="Y39" i="32" s="1"/>
  <c r="O51" i="16"/>
  <c r="O39" i="16" s="1"/>
  <c r="J51" i="35"/>
  <c r="J39" i="35" s="1"/>
  <c r="AD51" i="33"/>
  <c r="AD39" i="33" s="1"/>
  <c r="S51" i="37"/>
  <c r="S39" i="37" s="1"/>
  <c r="U51" i="31"/>
  <c r="U39" i="31" s="1"/>
  <c r="Q51" i="38"/>
  <c r="Q39" i="38" s="1"/>
  <c r="T51" i="34"/>
  <c r="T53" i="34" s="1"/>
  <c r="T66" i="34" s="1"/>
  <c r="O51" i="36"/>
  <c r="O39" i="36" s="1"/>
  <c r="Q51" i="35"/>
  <c r="Q39" i="35" s="1"/>
  <c r="AA51" i="34"/>
  <c r="AA39" i="34" s="1"/>
  <c r="AF51" i="31"/>
  <c r="AF39" i="31" s="1"/>
  <c r="H51" i="36"/>
  <c r="H39" i="36" s="1"/>
  <c r="I51" i="30"/>
  <c r="I39" i="30" s="1"/>
  <c r="P51" i="33"/>
  <c r="P39" i="33" s="1"/>
  <c r="AJ51" i="16"/>
  <c r="AJ39" i="16" s="1"/>
  <c r="AF51" i="32"/>
  <c r="AF39" i="32" s="1"/>
  <c r="L51" i="37"/>
  <c r="L39" i="37" s="1"/>
  <c r="R51" i="32"/>
  <c r="R39" i="32" s="1"/>
  <c r="AH51" i="34"/>
  <c r="AH39" i="34" s="1"/>
  <c r="AD51" i="30"/>
  <c r="AD39" i="30" s="1"/>
  <c r="X51" i="35"/>
  <c r="X39" i="35" s="1"/>
  <c r="N51" i="31"/>
  <c r="N39" i="31" s="1"/>
  <c r="K51" i="32"/>
  <c r="K39" i="32" s="1"/>
  <c r="L51" i="28"/>
  <c r="L39" i="28" s="1"/>
  <c r="I51" i="33"/>
  <c r="I39" i="33" s="1"/>
  <c r="AG51" i="29"/>
  <c r="AG39" i="29" s="1"/>
  <c r="M51" i="34"/>
  <c r="M39" i="34" s="1"/>
  <c r="P51" i="30"/>
  <c r="P39" i="30" s="1"/>
  <c r="X51" i="38"/>
  <c r="X39" i="38" s="1"/>
  <c r="AJ51" i="28"/>
  <c r="AJ53" i="28" s="1"/>
  <c r="AJ66" i="28" s="1"/>
  <c r="W51" i="33"/>
  <c r="W39" i="33" s="1"/>
  <c r="L52" i="28"/>
  <c r="L40" i="28" s="1"/>
  <c r="I52" i="35"/>
  <c r="I40" i="35" s="1"/>
  <c r="I52" i="30"/>
  <c r="I40" i="30" s="1"/>
  <c r="V52" i="16"/>
  <c r="V40" i="16" s="1"/>
  <c r="P52" i="30"/>
  <c r="P40" i="30" s="1"/>
  <c r="AF52" i="29"/>
  <c r="AF40" i="29" s="1"/>
  <c r="Q52" i="38"/>
  <c r="Q40" i="38" s="1"/>
  <c r="AM43" i="31"/>
  <c r="K52" i="34"/>
  <c r="K40" i="34" s="1"/>
  <c r="AA52" i="36"/>
  <c r="AA40" i="36" s="1"/>
  <c r="V52" i="36"/>
  <c r="V40" i="36" s="1"/>
  <c r="P52" i="32"/>
  <c r="P40" i="32" s="1"/>
  <c r="U72" i="33"/>
  <c r="U41" i="33"/>
  <c r="AD51" i="32"/>
  <c r="AD39" i="32" s="1"/>
  <c r="R52" i="34"/>
  <c r="R40" i="34" s="1"/>
  <c r="AB52" i="30"/>
  <c r="AB40" i="30" s="1"/>
  <c r="J51" i="37"/>
  <c r="J39" i="37" s="1"/>
  <c r="U51" i="30"/>
  <c r="U39" i="30" s="1"/>
  <c r="AG52" i="31"/>
  <c r="AG40" i="31" s="1"/>
  <c r="AJ55" i="28"/>
  <c r="AJ68" i="28" s="1"/>
  <c r="AJ69" i="28" s="1"/>
  <c r="AJ70" i="28" s="1" a="1"/>
  <c r="AJ70" i="28" s="1"/>
  <c r="AJ27" i="28"/>
  <c r="AJ28" i="28"/>
  <c r="AF52" i="28"/>
  <c r="AF40" i="28" s="1"/>
  <c r="I51" i="32"/>
  <c r="I39" i="32" s="1"/>
  <c r="AB51" i="33"/>
  <c r="AB39" i="33" s="1"/>
  <c r="AJ52" i="38"/>
  <c r="AJ40" i="38" s="1"/>
  <c r="U72" i="16"/>
  <c r="U41" i="16"/>
  <c r="T52" i="36"/>
  <c r="T40" i="36" s="1"/>
  <c r="Y51" i="28"/>
  <c r="Y39" i="28" s="1"/>
  <c r="Q52" i="37"/>
  <c r="Q40" i="37" s="1"/>
  <c r="AE72" i="29"/>
  <c r="AE41" i="29"/>
  <c r="H72" i="38"/>
  <c r="H41" i="38"/>
  <c r="J52" i="29"/>
  <c r="J40" i="29" s="1"/>
  <c r="W52" i="32"/>
  <c r="W40" i="32" s="1"/>
  <c r="Y52" i="34"/>
  <c r="Y40" i="34" s="1"/>
  <c r="AJ52" i="35"/>
  <c r="AJ40" i="35" s="1"/>
  <c r="V51" i="38"/>
  <c r="V39" i="38" s="1"/>
  <c r="AH51" i="36"/>
  <c r="AH39" i="36" s="1"/>
  <c r="AF51" i="34"/>
  <c r="AF39" i="34" s="1"/>
  <c r="O72" i="35"/>
  <c r="O41" i="35"/>
  <c r="S52" i="31"/>
  <c r="S40" i="31" s="1"/>
  <c r="V52" i="35"/>
  <c r="V40" i="35" s="1"/>
  <c r="N52" i="33"/>
  <c r="N40" i="33" s="1"/>
  <c r="AC52" i="35"/>
  <c r="AC40" i="35" s="1"/>
  <c r="N51" i="16"/>
  <c r="N39" i="16" s="1"/>
  <c r="N67" i="16"/>
  <c r="L51" i="31"/>
  <c r="L39" i="31" s="1"/>
  <c r="O52" i="38"/>
  <c r="O40" i="38" s="1"/>
  <c r="M52" i="34"/>
  <c r="M40" i="34" s="1"/>
  <c r="R72" i="28"/>
  <c r="R41" i="28"/>
  <c r="H52" i="30"/>
  <c r="H40" i="30" s="1"/>
  <c r="AI72" i="33"/>
  <c r="AI41" i="33"/>
  <c r="AE52" i="37"/>
  <c r="AE40" i="37" s="1"/>
  <c r="Q52" i="29"/>
  <c r="Q40" i="29" s="1"/>
  <c r="H52" i="35"/>
  <c r="H40" i="35" s="1"/>
  <c r="K52" i="28"/>
  <c r="K40" i="28" s="1"/>
  <c r="AI52" i="30"/>
  <c r="AI40" i="30" s="1"/>
  <c r="AI51" i="16"/>
  <c r="AI39" i="16" s="1"/>
  <c r="M52" i="36"/>
  <c r="M40" i="36" s="1"/>
  <c r="AB52" i="16"/>
  <c r="AB40" i="16" s="1"/>
  <c r="X52" i="37"/>
  <c r="X40" i="37" s="1"/>
  <c r="X52" i="29"/>
  <c r="X40" i="29" s="1"/>
  <c r="AK52" i="32"/>
  <c r="AK40" i="32" s="1"/>
  <c r="AA52" i="31"/>
  <c r="AA40" i="31" s="1"/>
  <c r="AC52" i="38"/>
  <c r="AC40" i="38" s="1"/>
  <c r="AF51" i="30"/>
  <c r="AF39" i="30" s="1"/>
  <c r="K51" i="33"/>
  <c r="K39" i="33" s="1"/>
  <c r="W51" i="16"/>
  <c r="W39" i="16" s="1"/>
  <c r="I51" i="31"/>
  <c r="I39" i="31" s="1"/>
  <c r="X51" i="31"/>
  <c r="X39" i="31" s="1"/>
  <c r="N51" i="28"/>
  <c r="N39" i="28" s="1"/>
  <c r="T51" i="29"/>
  <c r="T53" i="29" s="1"/>
  <c r="T66" i="29" s="1"/>
  <c r="AB51" i="34"/>
  <c r="AB53" i="34" s="1"/>
  <c r="AB66" i="34" s="1"/>
  <c r="V51" i="35"/>
  <c r="AL69" i="29"/>
  <c r="AL70" i="29" s="1" a="1"/>
  <c r="AL70" i="29" s="1"/>
  <c r="AD51" i="34"/>
  <c r="AD39" i="34" s="1"/>
  <c r="AK51" i="36"/>
  <c r="AK53" i="36" s="1"/>
  <c r="AK66" i="36" s="1"/>
  <c r="AL52" i="33"/>
  <c r="AL40" i="33" s="1"/>
  <c r="AF52" i="33"/>
  <c r="AF40" i="33" s="1"/>
  <c r="AA52" i="32"/>
  <c r="AA40" i="32" s="1"/>
  <c r="AH52" i="32"/>
  <c r="AH40" i="32" s="1"/>
  <c r="Q52" i="36"/>
  <c r="Q40" i="36" s="1"/>
  <c r="L52" i="31"/>
  <c r="L40" i="31" s="1"/>
  <c r="Y51" i="31"/>
  <c r="Y39" i="31" s="1"/>
  <c r="AC51" i="38"/>
  <c r="AC39" i="38" s="1"/>
  <c r="N51" i="30"/>
  <c r="N39" i="30" s="1"/>
  <c r="R51" i="34"/>
  <c r="Y51" i="37"/>
  <c r="Y53" i="37" s="1"/>
  <c r="Y66" i="37" s="1"/>
  <c r="L51" i="35"/>
  <c r="L39" i="35" s="1"/>
  <c r="X51" i="32"/>
  <c r="X53" i="32" s="1"/>
  <c r="X66" i="32" s="1"/>
  <c r="AB51" i="30"/>
  <c r="AB39" i="30" s="1"/>
  <c r="AE51" i="28"/>
  <c r="AE39" i="28" s="1"/>
  <c r="N51" i="38"/>
  <c r="AG51" i="35"/>
  <c r="AG39" i="35" s="1"/>
  <c r="W51" i="28"/>
  <c r="W39" i="28" s="1"/>
  <c r="AC51" i="37"/>
  <c r="AC39" i="37" s="1"/>
  <c r="AE51" i="37"/>
  <c r="AE51" i="33"/>
  <c r="AE39" i="33" s="1"/>
  <c r="L51" i="38"/>
  <c r="L39" i="38" s="1"/>
  <c r="X51" i="37"/>
  <c r="X39" i="37" s="1"/>
  <c r="AB51" i="29"/>
  <c r="AB39" i="29" s="1"/>
  <c r="AC51" i="29"/>
  <c r="AC39" i="29" s="1"/>
  <c r="W51" i="37"/>
  <c r="W39" i="37" s="1"/>
  <c r="T28" i="30"/>
  <c r="T55" i="30"/>
  <c r="T68" i="30" s="1"/>
  <c r="T69" i="30" s="1"/>
  <c r="T70" i="30" s="1" a="1"/>
  <c r="T70" i="30" s="1"/>
  <c r="T27" i="30"/>
  <c r="O51" i="38"/>
  <c r="U51" i="38"/>
  <c r="U39" i="38" s="1"/>
  <c r="X51" i="36"/>
  <c r="X39" i="36" s="1"/>
  <c r="AE51" i="16"/>
  <c r="AE39" i="16" s="1"/>
  <c r="S51" i="16"/>
  <c r="S39" i="16" s="1"/>
  <c r="M51" i="28"/>
  <c r="M39" i="28" s="1"/>
  <c r="Q51" i="28"/>
  <c r="Q39" i="28" s="1"/>
  <c r="AJ51" i="29"/>
  <c r="AJ39" i="29" s="1"/>
  <c r="P51" i="29"/>
  <c r="H51" i="29"/>
  <c r="H39" i="29" s="1"/>
  <c r="S51" i="31"/>
  <c r="S39" i="31" s="1"/>
  <c r="AE51" i="30"/>
  <c r="AE39" i="30" s="1"/>
  <c r="J51" i="29"/>
  <c r="J39" i="29" s="1"/>
  <c r="AH51" i="33"/>
  <c r="AH39" i="33" s="1"/>
  <c r="M51" i="30"/>
  <c r="M39" i="30" s="1"/>
  <c r="N51" i="29"/>
  <c r="N39" i="29" s="1"/>
  <c r="P51" i="28"/>
  <c r="P39" i="28" s="1"/>
  <c r="AG51" i="30"/>
  <c r="AG39" i="30" s="1"/>
  <c r="AA51" i="16"/>
  <c r="AA39" i="16" s="1"/>
  <c r="K51" i="31"/>
  <c r="K53" i="31" s="1"/>
  <c r="K66" i="31" s="1"/>
  <c r="AH51" i="16"/>
  <c r="AH39" i="16" s="1"/>
  <c r="AB51" i="28"/>
  <c r="AB39" i="28" s="1"/>
  <c r="AF51" i="28"/>
  <c r="AD51" i="28"/>
  <c r="AD39" i="28" s="1"/>
  <c r="T51" i="30"/>
  <c r="Z51" i="30"/>
  <c r="Z39" i="30" s="1"/>
  <c r="X51" i="16"/>
  <c r="X39" i="16" s="1"/>
  <c r="X51" i="28"/>
  <c r="X53" i="28" s="1"/>
  <c r="X66" i="28" s="1"/>
  <c r="O51" i="31"/>
  <c r="O39" i="31" s="1"/>
  <c r="I51" i="28"/>
  <c r="I39" i="28" s="1"/>
  <c r="AI51" i="30"/>
  <c r="AI39" i="30" s="1"/>
  <c r="AH51" i="28"/>
  <c r="AH39" i="28" s="1"/>
  <c r="AI51" i="28"/>
  <c r="AI39" i="28" s="1"/>
  <c r="AE51" i="29"/>
  <c r="AE39" i="29" s="1"/>
  <c r="AG51" i="31"/>
  <c r="AG39" i="31" s="1"/>
  <c r="AD51" i="29"/>
  <c r="R51" i="16"/>
  <c r="R39" i="16" s="1"/>
  <c r="X51" i="29"/>
  <c r="X39" i="29" s="1"/>
  <c r="AL51" i="16"/>
  <c r="AL39" i="16" s="1"/>
  <c r="AH51" i="30"/>
  <c r="AH39" i="30" s="1"/>
  <c r="AA51" i="30"/>
  <c r="AA39" i="30" s="1"/>
  <c r="V51" i="29"/>
  <c r="V39" i="29" s="1"/>
  <c r="AK51" i="29"/>
  <c r="AK39" i="29" s="1"/>
  <c r="O51" i="29"/>
  <c r="O39" i="29" s="1"/>
  <c r="AF51" i="16"/>
  <c r="AF53" i="16" s="1"/>
  <c r="AF66" i="16" s="1"/>
  <c r="AG51" i="16"/>
  <c r="AG39" i="16" s="1"/>
  <c r="L51" i="16"/>
  <c r="L39" i="16" s="1"/>
  <c r="P51" i="31"/>
  <c r="U51" i="28"/>
  <c r="U39" i="28" s="1"/>
  <c r="L51" i="30"/>
  <c r="L39" i="30" s="1"/>
  <c r="H51" i="28"/>
  <c r="H39" i="28" s="1"/>
  <c r="R51" i="30"/>
  <c r="R39" i="30" s="1"/>
  <c r="I51" i="29"/>
  <c r="I39" i="29" s="1"/>
  <c r="Q51" i="29"/>
  <c r="Q39" i="29" s="1"/>
  <c r="AE51" i="31"/>
  <c r="AE39" i="31" s="1"/>
  <c r="J51" i="31"/>
  <c r="J39" i="31" s="1"/>
  <c r="Q51" i="31"/>
  <c r="Q39" i="31" s="1"/>
  <c r="AL53" i="36"/>
  <c r="AL66" i="36" s="1"/>
  <c r="AK51" i="32"/>
  <c r="AK39" i="32" s="1"/>
  <c r="L52" i="35"/>
  <c r="L40" i="35" s="1"/>
  <c r="AG52" i="36"/>
  <c r="AG40" i="36" s="1"/>
  <c r="O52" i="34"/>
  <c r="O40" i="34" s="1"/>
  <c r="S52" i="38"/>
  <c r="S40" i="38" s="1"/>
  <c r="AD52" i="31"/>
  <c r="AD40" i="31" s="1"/>
  <c r="K52" i="36"/>
  <c r="K40" i="36" s="1"/>
  <c r="AI52" i="38"/>
  <c r="AI40" i="38" s="1"/>
  <c r="AM4" i="31"/>
  <c r="H7" i="40" s="1"/>
  <c r="P7" i="40" s="1"/>
  <c r="G39" i="1" s="1"/>
  <c r="AF52" i="36"/>
  <c r="AF40" i="36" s="1"/>
  <c r="N52" i="37"/>
  <c r="N40" i="37" s="1"/>
  <c r="S51" i="32"/>
  <c r="S39" i="32" s="1"/>
  <c r="U51" i="33"/>
  <c r="U39" i="33" s="1"/>
  <c r="N51" i="35"/>
  <c r="N39" i="35" s="1"/>
  <c r="P51" i="38"/>
  <c r="P53" i="38" s="1"/>
  <c r="P66" i="38" s="1"/>
  <c r="AJ51" i="32"/>
  <c r="S51" i="33"/>
  <c r="S39" i="33" s="1"/>
  <c r="AH51" i="35"/>
  <c r="AH39" i="35" s="1"/>
  <c r="K51" i="37"/>
  <c r="K39" i="37" s="1"/>
  <c r="AM15" i="31"/>
  <c r="H13" i="40" s="1"/>
  <c r="P13" i="40" s="1"/>
  <c r="AK51" i="37"/>
  <c r="AK39" i="37" s="1"/>
  <c r="L51" i="36"/>
  <c r="L39" i="36" s="1"/>
  <c r="M51" i="37"/>
  <c r="M39" i="37" s="1"/>
  <c r="S51" i="38"/>
  <c r="AL28" i="38"/>
  <c r="AL51" i="33"/>
  <c r="AL39" i="33" s="1"/>
  <c r="R51" i="28"/>
  <c r="R39" i="28" s="1"/>
  <c r="AL27" i="33"/>
  <c r="AL28" i="33"/>
  <c r="W51" i="32"/>
  <c r="AL27" i="31"/>
  <c r="AL28" i="31"/>
  <c r="AL52" i="31"/>
  <c r="AL40" i="31" s="1"/>
  <c r="AL55" i="31"/>
  <c r="AL68" i="31" s="1"/>
  <c r="AL69" i="31" s="1"/>
  <c r="AL70" i="31" s="1" a="1"/>
  <c r="AL70" i="31" s="1"/>
  <c r="O51" i="35"/>
  <c r="O39" i="35" s="1"/>
  <c r="AA51" i="33"/>
  <c r="AA39" i="33" s="1"/>
  <c r="U51" i="35"/>
  <c r="U39" i="35" s="1"/>
  <c r="I51" i="38"/>
  <c r="I39" i="38" s="1"/>
  <c r="AA51" i="36"/>
  <c r="AA39" i="36" s="1"/>
  <c r="AD51" i="35"/>
  <c r="AD53" i="35" s="1"/>
  <c r="AD66" i="35" s="1"/>
  <c r="V51" i="30"/>
  <c r="V53" i="30" s="1"/>
  <c r="V66" i="30" s="1"/>
  <c r="P51" i="32"/>
  <c r="AD51" i="37"/>
  <c r="AD39" i="37" s="1"/>
  <c r="AA51" i="35"/>
  <c r="AA39" i="35" s="1"/>
  <c r="V51" i="37"/>
  <c r="V39" i="37" s="1"/>
  <c r="Q51" i="37"/>
  <c r="Q39" i="37" s="1"/>
  <c r="AB51" i="35"/>
  <c r="AB39" i="35" s="1"/>
  <c r="P38" i="40"/>
  <c r="AC51" i="35"/>
  <c r="AC39" i="35" s="1"/>
  <c r="Z51" i="32"/>
  <c r="Z53" i="32" s="1"/>
  <c r="Z66" i="32" s="1"/>
  <c r="T51" i="36"/>
  <c r="T39" i="36" s="1"/>
  <c r="AD52" i="28"/>
  <c r="AD40" i="28" s="1"/>
  <c r="AA51" i="38"/>
  <c r="AA39" i="38" s="1"/>
  <c r="P51" i="35"/>
  <c r="P53" i="35" s="1"/>
  <c r="P66" i="35" s="1"/>
  <c r="V51" i="32"/>
  <c r="AB51" i="38"/>
  <c r="L51" i="34"/>
  <c r="L39" i="34" s="1"/>
  <c r="AA51" i="32"/>
  <c r="AA39" i="32" s="1"/>
  <c r="AJ51" i="38"/>
  <c r="AL27" i="38"/>
  <c r="AL52" i="16"/>
  <c r="AL40" i="16" s="1"/>
  <c r="AF52" i="30"/>
  <c r="AF40" i="30" s="1"/>
  <c r="K51" i="36"/>
  <c r="L51" i="33"/>
  <c r="L39" i="33" s="1"/>
  <c r="AJ51" i="35"/>
  <c r="AJ39" i="35" s="1"/>
  <c r="AI51" i="32"/>
  <c r="AI53" i="32" s="1"/>
  <c r="AI66" i="32" s="1"/>
  <c r="AJ51" i="37"/>
  <c r="AJ53" i="37" s="1"/>
  <c r="AJ66" i="37" s="1"/>
  <c r="I51" i="34"/>
  <c r="I39" i="34" s="1"/>
  <c r="Y51" i="36"/>
  <c r="Y39" i="36" s="1"/>
  <c r="Y51" i="34"/>
  <c r="O51" i="37"/>
  <c r="O53" i="37" s="1"/>
  <c r="O66" i="37" s="1"/>
  <c r="W52" i="31"/>
  <c r="W40" i="31" s="1"/>
  <c r="N51" i="33"/>
  <c r="N39" i="33" s="1"/>
  <c r="AK51" i="35"/>
  <c r="AK53" i="35" s="1"/>
  <c r="AK66" i="35" s="1"/>
  <c r="O51" i="32"/>
  <c r="O39" i="32" s="1"/>
  <c r="Q51" i="34"/>
  <c r="AI51" i="33"/>
  <c r="AI39" i="33" s="1"/>
  <c r="Z51" i="35"/>
  <c r="Z39" i="35" s="1"/>
  <c r="J51" i="36"/>
  <c r="J39" i="36" s="1"/>
  <c r="W51" i="34"/>
  <c r="W39" i="34" s="1"/>
  <c r="N51" i="37"/>
  <c r="Z51" i="33"/>
  <c r="Z39" i="33" s="1"/>
  <c r="AI51" i="35"/>
  <c r="AI39" i="35" s="1"/>
  <c r="N51" i="32"/>
  <c r="N39" i="32" s="1"/>
  <c r="Y51" i="29"/>
  <c r="Y53" i="29" s="1"/>
  <c r="Y66" i="29" s="1"/>
  <c r="AE52" i="16"/>
  <c r="AE40" i="16" s="1"/>
  <c r="M51" i="32"/>
  <c r="M39" i="32" s="1"/>
  <c r="P51" i="37"/>
  <c r="P39" i="37" s="1"/>
  <c r="AG51" i="32"/>
  <c r="AG39" i="32" s="1"/>
  <c r="K51" i="34"/>
  <c r="AF51" i="36"/>
  <c r="AF39" i="36" s="1"/>
  <c r="M51" i="35"/>
  <c r="M39" i="35" s="1"/>
  <c r="R51" i="36"/>
  <c r="R39" i="36" s="1"/>
  <c r="H51" i="37"/>
  <c r="H39" i="37" s="1"/>
  <c r="J51" i="34"/>
  <c r="J39" i="34" s="1"/>
  <c r="AC51" i="32"/>
  <c r="AC39" i="32" s="1"/>
  <c r="Z51" i="36"/>
  <c r="Z39" i="36" s="1"/>
  <c r="AG51" i="33"/>
  <c r="AG39" i="33" s="1"/>
  <c r="X51" i="34"/>
  <c r="X39" i="34" s="1"/>
  <c r="M51" i="36"/>
  <c r="AE51" i="34"/>
  <c r="AE39" i="34" s="1"/>
  <c r="M51" i="38"/>
  <c r="M53" i="38" s="1"/>
  <c r="M66" i="38" s="1"/>
  <c r="T51" i="38"/>
  <c r="T53" i="38" s="1"/>
  <c r="T66" i="38" s="1"/>
  <c r="AH51" i="38"/>
  <c r="AH39" i="38" s="1"/>
  <c r="U51" i="32"/>
  <c r="U53" i="32" s="1"/>
  <c r="U66" i="32" s="1"/>
  <c r="P51" i="34"/>
  <c r="P39" i="34" s="1"/>
  <c r="M51" i="33"/>
  <c r="M39" i="33" s="1"/>
  <c r="R51" i="29"/>
  <c r="R39" i="29" s="1"/>
  <c r="K51" i="28"/>
  <c r="K39" i="28" s="1"/>
  <c r="J51" i="32"/>
  <c r="J53" i="32" s="1"/>
  <c r="J66" i="32" s="1"/>
  <c r="AB51" i="16"/>
  <c r="AC52" i="34"/>
  <c r="AC40" i="34" s="1"/>
  <c r="X52" i="36"/>
  <c r="X40" i="36" s="1"/>
  <c r="K51" i="29"/>
  <c r="K53" i="29" s="1"/>
  <c r="K66" i="29" s="1"/>
  <c r="U51" i="36"/>
  <c r="U39" i="36" s="1"/>
  <c r="U52" i="29"/>
  <c r="U40" i="29" s="1"/>
  <c r="P35" i="40"/>
  <c r="G40" i="13" s="1"/>
  <c r="F40" i="13" s="1"/>
  <c r="AJ51" i="30"/>
  <c r="AJ39" i="30" s="1"/>
  <c r="AF51" i="37"/>
  <c r="AF39" i="37" s="1"/>
  <c r="U51" i="16"/>
  <c r="U39" i="16" s="1"/>
  <c r="I52" i="31"/>
  <c r="I40" i="31" s="1"/>
  <c r="N52" i="32"/>
  <c r="N40" i="32" s="1"/>
  <c r="R52" i="37"/>
  <c r="R40" i="37" s="1"/>
  <c r="T51" i="37"/>
  <c r="T39" i="37" s="1"/>
  <c r="AJ51" i="31"/>
  <c r="AJ39" i="31" s="1"/>
  <c r="J51" i="33"/>
  <c r="J53" i="33" s="1"/>
  <c r="J66" i="33" s="1"/>
  <c r="AI52" i="36"/>
  <c r="AI40" i="36" s="1"/>
  <c r="S52" i="28"/>
  <c r="S40" i="28" s="1"/>
  <c r="AD51" i="16"/>
  <c r="AD39" i="16" s="1"/>
  <c r="W52" i="28"/>
  <c r="W40" i="28" s="1"/>
  <c r="AI52" i="31"/>
  <c r="AI40" i="31" s="1"/>
  <c r="M52" i="31"/>
  <c r="M40" i="31" s="1"/>
  <c r="AH51" i="37"/>
  <c r="AH39" i="37" s="1"/>
  <c r="I52" i="33"/>
  <c r="I40" i="33" s="1"/>
  <c r="P52" i="33"/>
  <c r="P40" i="33" s="1"/>
  <c r="P52" i="28"/>
  <c r="P40" i="28" s="1"/>
  <c r="V51" i="31"/>
  <c r="V39" i="31" s="1"/>
  <c r="AH51" i="29"/>
  <c r="AH53" i="29" s="1"/>
  <c r="AH66" i="29" s="1"/>
  <c r="M51" i="29"/>
  <c r="M39" i="29" s="1"/>
  <c r="Z52" i="37"/>
  <c r="Z40" i="37" s="1"/>
  <c r="AA51" i="29"/>
  <c r="AA39" i="29" s="1"/>
  <c r="W40" i="34"/>
  <c r="U51" i="37"/>
  <c r="U39" i="37" s="1"/>
  <c r="T52" i="32"/>
  <c r="T40" i="32" s="1"/>
  <c r="AH52" i="34"/>
  <c r="AH40" i="34" s="1"/>
  <c r="AA51" i="28"/>
  <c r="AA39" i="28" s="1"/>
  <c r="X52" i="16"/>
  <c r="X40" i="16" s="1"/>
  <c r="AI51" i="37"/>
  <c r="AI39" i="37" s="1"/>
  <c r="Q52" i="35"/>
  <c r="Q40" i="35" s="1"/>
  <c r="AD52" i="30"/>
  <c r="AD40" i="30" s="1"/>
  <c r="AD51" i="36"/>
  <c r="AD39" i="36" s="1"/>
  <c r="AH52" i="38"/>
  <c r="AH40" i="38" s="1"/>
  <c r="AC52" i="37"/>
  <c r="AC40" i="37" s="1"/>
  <c r="N41" i="37"/>
  <c r="N72" i="37"/>
  <c r="X51" i="30"/>
  <c r="X39" i="30" s="1"/>
  <c r="AG52" i="37"/>
  <c r="AG40" i="37" s="1"/>
  <c r="U72" i="28"/>
  <c r="U41" i="28"/>
  <c r="AL41" i="16"/>
  <c r="AL72" i="16"/>
  <c r="AG52" i="35"/>
  <c r="AG40" i="35" s="1"/>
  <c r="AA51" i="37"/>
  <c r="AA53" i="37" s="1"/>
  <c r="AA66" i="37" s="1"/>
  <c r="P52" i="34"/>
  <c r="P40" i="34" s="1"/>
  <c r="AD52" i="34"/>
  <c r="AD40" i="34" s="1"/>
  <c r="AF72" i="30"/>
  <c r="AF41" i="30"/>
  <c r="AJ52" i="29"/>
  <c r="AJ40" i="29" s="1"/>
  <c r="R51" i="33"/>
  <c r="R39" i="33" s="1"/>
  <c r="L72" i="35"/>
  <c r="L41" i="35"/>
  <c r="Q39" i="30"/>
  <c r="Q53" i="30"/>
  <c r="Q66" i="30" s="1"/>
  <c r="N52" i="28"/>
  <c r="N40" i="28" s="1"/>
  <c r="AJ52" i="34"/>
  <c r="AJ40" i="34" s="1"/>
  <c r="O52" i="30"/>
  <c r="O40" i="30" s="1"/>
  <c r="Y52" i="31"/>
  <c r="Y40" i="31" s="1"/>
  <c r="Y52" i="30"/>
  <c r="Y40" i="30" s="1"/>
  <c r="W52" i="35"/>
  <c r="W40" i="35" s="1"/>
  <c r="L52" i="38"/>
  <c r="L40" i="38" s="1"/>
  <c r="AF72" i="33"/>
  <c r="AF41" i="33"/>
  <c r="Q51" i="33"/>
  <c r="Q39" i="33" s="1"/>
  <c r="AC51" i="31"/>
  <c r="AC39" i="31" s="1"/>
  <c r="AK51" i="16"/>
  <c r="AK39" i="16" s="1"/>
  <c r="AI52" i="28"/>
  <c r="AI40" i="28" s="1"/>
  <c r="AB41" i="28"/>
  <c r="AB72" i="28"/>
  <c r="Z52" i="38"/>
  <c r="Z40" i="38" s="1"/>
  <c r="Q52" i="16"/>
  <c r="Q40" i="16" s="1"/>
  <c r="Q67" i="16"/>
  <c r="O41" i="34"/>
  <c r="O72" i="34"/>
  <c r="Y51" i="38"/>
  <c r="Y39" i="38" s="1"/>
  <c r="S72" i="38"/>
  <c r="S41" i="38"/>
  <c r="U72" i="29"/>
  <c r="U41" i="29"/>
  <c r="R51" i="38"/>
  <c r="R39" i="38" s="1"/>
  <c r="AA72" i="32"/>
  <c r="AA41" i="32"/>
  <c r="N51" i="34"/>
  <c r="N39" i="34" s="1"/>
  <c r="J52" i="16"/>
  <c r="J40" i="16" s="1"/>
  <c r="AB52" i="37"/>
  <c r="AB40" i="37" s="1"/>
  <c r="Q72" i="36"/>
  <c r="Q41" i="36"/>
  <c r="N41" i="29"/>
  <c r="N72" i="29"/>
  <c r="AC72" i="34"/>
  <c r="AC41" i="34"/>
  <c r="K52" i="30"/>
  <c r="K40" i="30" s="1"/>
  <c r="AK52" i="31"/>
  <c r="AK40" i="31" s="1"/>
  <c r="X72" i="36"/>
  <c r="X41" i="36"/>
  <c r="AE72" i="16"/>
  <c r="AE41" i="16"/>
  <c r="M52" i="32"/>
  <c r="M40" i="32" s="1"/>
  <c r="Y51" i="35"/>
  <c r="Y39" i="35" s="1"/>
  <c r="K51" i="35"/>
  <c r="K39" i="35" s="1"/>
  <c r="X51" i="33"/>
  <c r="X39" i="33" s="1"/>
  <c r="T51" i="28"/>
  <c r="T53" i="28" s="1"/>
  <c r="T66" i="28" s="1"/>
  <c r="V72" i="34"/>
  <c r="V41" i="34"/>
  <c r="Y41" i="33"/>
  <c r="Y72" i="33"/>
  <c r="S72" i="35"/>
  <c r="S41" i="35"/>
  <c r="W41" i="31"/>
  <c r="W72" i="31"/>
  <c r="S52" i="33"/>
  <c r="S40" i="33" s="1"/>
  <c r="AF51" i="38"/>
  <c r="K52" i="32"/>
  <c r="K40" i="32" s="1"/>
  <c r="AG52" i="29"/>
  <c r="AG40" i="29" s="1"/>
  <c r="T72" i="31"/>
  <c r="T41" i="31"/>
  <c r="AB72" i="29"/>
  <c r="AB41" i="29"/>
  <c r="J72" i="36"/>
  <c r="J41" i="36"/>
  <c r="AD51" i="31"/>
  <c r="AD39" i="31" s="1"/>
  <c r="AE52" i="36"/>
  <c r="AE40" i="36" s="1"/>
  <c r="AF51" i="35"/>
  <c r="AF39" i="35" s="1"/>
  <c r="N52" i="30"/>
  <c r="N40" i="30" s="1"/>
  <c r="AI52" i="29"/>
  <c r="AI40" i="29" s="1"/>
  <c r="I72" i="31"/>
  <c r="I41" i="31"/>
  <c r="K52" i="33"/>
  <c r="K40" i="33" s="1"/>
  <c r="AH72" i="32"/>
  <c r="AH41" i="32"/>
  <c r="Z52" i="35"/>
  <c r="Z40" i="35" s="1"/>
  <c r="R52" i="30"/>
  <c r="R40" i="30" s="1"/>
  <c r="R51" i="35"/>
  <c r="R39" i="35" s="1"/>
  <c r="K51" i="38"/>
  <c r="K39" i="38" s="1"/>
  <c r="AB3" i="31"/>
  <c r="AJ52" i="33"/>
  <c r="AJ40" i="33" s="1"/>
  <c r="J52" i="38"/>
  <c r="J40" i="38" s="1"/>
  <c r="O52" i="16"/>
  <c r="O40" i="16" s="1"/>
  <c r="H52" i="36"/>
  <c r="H40" i="36" s="1"/>
  <c r="J52" i="35"/>
  <c r="J40" i="35" s="1"/>
  <c r="AC51" i="34"/>
  <c r="AC39" i="34" s="1"/>
  <c r="T51" i="32"/>
  <c r="T39" i="32" s="1"/>
  <c r="AF52" i="32"/>
  <c r="AF40" i="32" s="1"/>
  <c r="Y52" i="28"/>
  <c r="Y40" i="28" s="1"/>
  <c r="Z72" i="33"/>
  <c r="Z41" i="33"/>
  <c r="V51" i="34"/>
  <c r="V39" i="34" s="1"/>
  <c r="AD41" i="34"/>
  <c r="AD72" i="34"/>
  <c r="P72" i="28"/>
  <c r="P41" i="28"/>
  <c r="S51" i="35"/>
  <c r="S39" i="35" s="1"/>
  <c r="Y51" i="33"/>
  <c r="Y39" i="33" s="1"/>
  <c r="AK51" i="31"/>
  <c r="AG51" i="38"/>
  <c r="R52" i="32"/>
  <c r="AJ52" i="36"/>
  <c r="AJ40" i="36" s="1"/>
  <c r="AH52" i="31"/>
  <c r="AH40" i="31" s="1"/>
  <c r="Q51" i="36"/>
  <c r="Q39" i="36" s="1"/>
  <c r="AH51" i="32"/>
  <c r="AJ51" i="34"/>
  <c r="AJ39" i="34" s="1"/>
  <c r="K51" i="30"/>
  <c r="K39" i="30" s="1"/>
  <c r="AF72" i="36"/>
  <c r="AF41" i="36"/>
  <c r="K72" i="36"/>
  <c r="K41" i="36"/>
  <c r="AD72" i="28"/>
  <c r="AD41" i="28"/>
  <c r="AB52" i="32"/>
  <c r="AB40" i="32" s="1"/>
  <c r="AH72" i="38"/>
  <c r="AH41" i="38"/>
  <c r="W72" i="28"/>
  <c r="W41" i="28"/>
  <c r="J72" i="31"/>
  <c r="J41" i="31"/>
  <c r="AC41" i="37"/>
  <c r="AC72" i="37"/>
  <c r="S41" i="33"/>
  <c r="S72" i="33"/>
  <c r="X52" i="38"/>
  <c r="X40" i="38" s="1"/>
  <c r="AI51" i="29"/>
  <c r="AI39" i="29" s="1"/>
  <c r="K51" i="16"/>
  <c r="K39" i="16" s="1"/>
  <c r="W51" i="31"/>
  <c r="W39" i="31" s="1"/>
  <c r="AE51" i="36"/>
  <c r="O51" i="34"/>
  <c r="O39" i="34" s="1"/>
  <c r="AK52" i="30"/>
  <c r="AK40" i="30" s="1"/>
  <c r="Q52" i="31"/>
  <c r="Q40" i="31" s="1"/>
  <c r="H72" i="37"/>
  <c r="H41" i="37"/>
  <c r="AA72" i="35"/>
  <c r="AA41" i="35"/>
  <c r="L52" i="33"/>
  <c r="L40" i="33" s="1"/>
  <c r="N41" i="32"/>
  <c r="N72" i="32"/>
  <c r="AH52" i="35"/>
  <c r="AH40" i="35" s="1"/>
  <c r="X41" i="31"/>
  <c r="X72" i="31"/>
  <c r="Z52" i="29"/>
  <c r="Z40" i="29" s="1"/>
  <c r="Z52" i="28"/>
  <c r="Z40" i="28" s="1"/>
  <c r="AG52" i="33"/>
  <c r="AG40" i="33" s="1"/>
  <c r="AC52" i="29"/>
  <c r="AC40" i="29" s="1"/>
  <c r="AE52" i="31"/>
  <c r="AE40" i="31" s="1"/>
  <c r="R41" i="36"/>
  <c r="R72" i="36"/>
  <c r="AJ52" i="31"/>
  <c r="AJ40" i="31" s="1"/>
  <c r="AF51" i="33"/>
  <c r="AF39" i="33" s="1"/>
  <c r="V52" i="37"/>
  <c r="V40" i="37" s="1"/>
  <c r="Z72" i="30"/>
  <c r="Z41" i="30"/>
  <c r="S52" i="16"/>
  <c r="S40" i="16" s="1"/>
  <c r="S67" i="16"/>
  <c r="P72" i="34"/>
  <c r="P41" i="34"/>
  <c r="H72" i="29"/>
  <c r="H41" i="29"/>
  <c r="AJ72" i="29"/>
  <c r="AJ41" i="29"/>
  <c r="O51" i="28"/>
  <c r="AC51" i="28"/>
  <c r="AC39" i="28" s="1"/>
  <c r="O40" i="29"/>
  <c r="AI39" i="36"/>
  <c r="AF39" i="29"/>
  <c r="M39" i="31"/>
  <c r="Y40" i="36"/>
  <c r="AA40" i="38"/>
  <c r="I40" i="34"/>
  <c r="M40" i="35"/>
  <c r="AG72" i="29"/>
  <c r="AG41" i="29"/>
  <c r="AB27" i="29"/>
  <c r="AB28" i="29"/>
  <c r="AB55" i="29"/>
  <c r="AB68" i="29" s="1"/>
  <c r="AB69" i="29" s="1"/>
  <c r="AB70" i="29" s="1" a="1"/>
  <c r="AB70" i="29" s="1"/>
  <c r="AC52" i="16"/>
  <c r="AC40" i="16" s="1"/>
  <c r="AG72" i="37"/>
  <c r="AG41" i="37"/>
  <c r="J72" i="35"/>
  <c r="J41" i="35"/>
  <c r="AF72" i="32"/>
  <c r="AF41" i="32"/>
  <c r="M72" i="34"/>
  <c r="M41" i="34"/>
  <c r="N51" i="36"/>
  <c r="N39" i="36" s="1"/>
  <c r="Q41" i="35"/>
  <c r="Q72" i="35"/>
  <c r="AB52" i="29"/>
  <c r="AB40" i="29" s="1"/>
  <c r="N27" i="29"/>
  <c r="N28" i="29"/>
  <c r="N55" i="29"/>
  <c r="N68" i="29" s="1"/>
  <c r="N69" i="29" s="1"/>
  <c r="N70" i="29" s="1" a="1"/>
  <c r="N70" i="29" s="1"/>
  <c r="K28" i="16"/>
  <c r="K27" i="16"/>
  <c r="K55" i="16"/>
  <c r="K68" i="16" s="1"/>
  <c r="K69" i="16" s="1"/>
  <c r="K70" i="16" s="1" a="1"/>
  <c r="K70" i="16" s="1"/>
  <c r="AC27" i="37"/>
  <c r="AC28" i="37"/>
  <c r="AC55" i="37"/>
  <c r="AC68" i="37" s="1"/>
  <c r="AC69" i="37" s="1"/>
  <c r="AC70" i="37" s="1" a="1"/>
  <c r="AC70" i="37" s="1"/>
  <c r="V72" i="36"/>
  <c r="V41" i="36"/>
  <c r="AK52" i="33"/>
  <c r="AK40" i="33" s="1"/>
  <c r="P72" i="33"/>
  <c r="P41" i="33"/>
  <c r="P34" i="40"/>
  <c r="G39" i="13" s="1"/>
  <c r="F39" i="13" s="1"/>
  <c r="P37" i="40"/>
  <c r="X41" i="38"/>
  <c r="X72" i="38"/>
  <c r="X72" i="35"/>
  <c r="X41" i="35"/>
  <c r="S41" i="29"/>
  <c r="S72" i="29"/>
  <c r="AE51" i="32"/>
  <c r="AE39" i="32" s="1"/>
  <c r="V28" i="34"/>
  <c r="V27" i="34"/>
  <c r="V55" i="34"/>
  <c r="V68" i="34" s="1"/>
  <c r="V69" i="34" s="1"/>
  <c r="V70" i="34" s="1" a="1"/>
  <c r="V70" i="34" s="1"/>
  <c r="Z27" i="35"/>
  <c r="Z28" i="35"/>
  <c r="Z55" i="35"/>
  <c r="Z68" i="35" s="1"/>
  <c r="Z69" i="35" s="1"/>
  <c r="Z70" i="35" s="1" a="1"/>
  <c r="Z70" i="35" s="1"/>
  <c r="J27" i="36"/>
  <c r="J28" i="36"/>
  <c r="J55" i="36"/>
  <c r="J68" i="36" s="1"/>
  <c r="J69" i="36" s="1"/>
  <c r="J70" i="36" s="1" a="1"/>
  <c r="J70" i="36" s="1"/>
  <c r="P27" i="34"/>
  <c r="P28" i="34"/>
  <c r="P55" i="34"/>
  <c r="P68" i="34" s="1"/>
  <c r="P69" i="34" s="1"/>
  <c r="P70" i="34" s="1" a="1"/>
  <c r="P70" i="34" s="1"/>
  <c r="H27" i="29"/>
  <c r="H28" i="29"/>
  <c r="H55" i="29"/>
  <c r="H68" i="29" s="1"/>
  <c r="H69" i="29" s="1"/>
  <c r="H70" i="29" s="1" a="1"/>
  <c r="H70" i="29" s="1"/>
  <c r="AA28" i="35"/>
  <c r="AA27" i="35"/>
  <c r="AA55" i="35"/>
  <c r="AA68" i="35" s="1"/>
  <c r="AA69" i="35" s="1"/>
  <c r="AA70" i="35" s="1" a="1"/>
  <c r="AA70" i="35" s="1"/>
  <c r="R27" i="33"/>
  <c r="R28" i="33"/>
  <c r="R55" i="33"/>
  <c r="R68" i="33" s="1"/>
  <c r="R69" i="33" s="1"/>
  <c r="R70" i="33" s="1" a="1"/>
  <c r="R70" i="33" s="1"/>
  <c r="AE55" i="36"/>
  <c r="AE68" i="36" s="1"/>
  <c r="AE69" i="36" s="1"/>
  <c r="AE70" i="36" s="1" a="1"/>
  <c r="AE70" i="36" s="1"/>
  <c r="AE27" i="36"/>
  <c r="AE28" i="36"/>
  <c r="W72" i="30"/>
  <c r="W41" i="30"/>
  <c r="R27" i="36"/>
  <c r="R28" i="36"/>
  <c r="R55" i="36"/>
  <c r="R68" i="36" s="1"/>
  <c r="R69" i="36" s="1"/>
  <c r="R70" i="36" s="1" a="1"/>
  <c r="R70" i="36" s="1"/>
  <c r="AC51" i="33"/>
  <c r="AC53" i="33" s="1"/>
  <c r="AC66" i="33" s="1"/>
  <c r="AC51" i="30"/>
  <c r="AC39" i="30" s="1"/>
  <c r="AJ41" i="31"/>
  <c r="AJ72" i="31"/>
  <c r="AA72" i="34"/>
  <c r="AA41" i="34"/>
  <c r="Y41" i="31"/>
  <c r="Y72" i="31"/>
  <c r="P72" i="30"/>
  <c r="P41" i="30"/>
  <c r="I41" i="30"/>
  <c r="I72" i="30"/>
  <c r="AJ72" i="36"/>
  <c r="AJ41" i="36"/>
  <c r="Y72" i="32"/>
  <c r="Y41" i="32"/>
  <c r="T51" i="31"/>
  <c r="T39" i="31" s="1"/>
  <c r="L52" i="29"/>
  <c r="L40" i="29" s="1"/>
  <c r="AG51" i="34"/>
  <c r="AG39" i="34" s="1"/>
  <c r="AF28" i="33"/>
  <c r="AF27" i="33"/>
  <c r="AF55" i="33"/>
  <c r="AF68" i="33" s="1"/>
  <c r="AF69" i="33" s="1"/>
  <c r="AF70" i="33" s="1" a="1"/>
  <c r="AF70" i="33" s="1"/>
  <c r="H52" i="29"/>
  <c r="S27" i="35"/>
  <c r="S28" i="35"/>
  <c r="S55" i="35"/>
  <c r="S68" i="35" s="1"/>
  <c r="S69" i="35" s="1"/>
  <c r="S70" i="35" s="1" a="1"/>
  <c r="S70" i="35" s="1"/>
  <c r="AL41" i="31"/>
  <c r="AL72" i="31"/>
  <c r="AA52" i="35"/>
  <c r="AA40" i="35" s="1"/>
  <c r="L55" i="35"/>
  <c r="L68" i="35" s="1"/>
  <c r="L69" i="35" s="1"/>
  <c r="L70" i="35" s="1" a="1"/>
  <c r="L70" i="35" s="1"/>
  <c r="L28" i="35"/>
  <c r="L27" i="35"/>
  <c r="N27" i="32"/>
  <c r="N28" i="32"/>
  <c r="N55" i="32"/>
  <c r="N68" i="32" s="1"/>
  <c r="N69" i="32" s="1"/>
  <c r="N70" i="32" s="1" a="1"/>
  <c r="N70" i="32" s="1"/>
  <c r="R52" i="36"/>
  <c r="R40" i="36" s="1"/>
  <c r="X27" i="31"/>
  <c r="X28" i="31"/>
  <c r="X55" i="31"/>
  <c r="X68" i="31" s="1"/>
  <c r="X69" i="31" s="1"/>
  <c r="X70" i="31" s="1" a="1"/>
  <c r="X70" i="31" s="1"/>
  <c r="AG27" i="33"/>
  <c r="AG28" i="33"/>
  <c r="AG55" i="33"/>
  <c r="AG68" i="33" s="1"/>
  <c r="AG69" i="33" s="1"/>
  <c r="AG70" i="33" s="1" a="1"/>
  <c r="AG70" i="33" s="1"/>
  <c r="S72" i="37"/>
  <c r="S41" i="37"/>
  <c r="AH72" i="34"/>
  <c r="AH41" i="34"/>
  <c r="AG52" i="28"/>
  <c r="AG40" i="28" s="1"/>
  <c r="L41" i="28"/>
  <c r="L72" i="28"/>
  <c r="V72" i="16"/>
  <c r="V41" i="16"/>
  <c r="AB27" i="32"/>
  <c r="AB28" i="32"/>
  <c r="AB55" i="32"/>
  <c r="AB68" i="32" s="1"/>
  <c r="AB69" i="32" s="1"/>
  <c r="AB70" i="32" s="1" a="1"/>
  <c r="AB70" i="32" s="1"/>
  <c r="AH28" i="32"/>
  <c r="AH27" i="32"/>
  <c r="AH55" i="32"/>
  <c r="AH68" i="32" s="1"/>
  <c r="AH69" i="32" s="1"/>
  <c r="AH70" i="32" s="1" a="1"/>
  <c r="AH70" i="32" s="1"/>
  <c r="Z28" i="33"/>
  <c r="Z27" i="33"/>
  <c r="Z55" i="33"/>
  <c r="Z68" i="33" s="1"/>
  <c r="Z69" i="33" s="1"/>
  <c r="Z70" i="33" s="1" a="1"/>
  <c r="Z70" i="33" s="1"/>
  <c r="V27" i="37"/>
  <c r="V28" i="37"/>
  <c r="V55" i="37"/>
  <c r="V68" i="37" s="1"/>
  <c r="V69" i="37" s="1"/>
  <c r="V70" i="37" s="1" a="1"/>
  <c r="V70" i="37" s="1"/>
  <c r="Z52" i="30"/>
  <c r="Z28" i="30"/>
  <c r="Z27" i="30"/>
  <c r="Z55" i="30"/>
  <c r="Z68" i="30" s="1"/>
  <c r="Z69" i="30" s="1"/>
  <c r="Z70" i="30" s="1" a="1"/>
  <c r="Z70" i="30" s="1"/>
  <c r="R27" i="16"/>
  <c r="R28" i="16"/>
  <c r="R55" i="16"/>
  <c r="R68" i="16" s="1"/>
  <c r="R69" i="16" s="1"/>
  <c r="R70" i="16" s="1" a="1"/>
  <c r="R70" i="16" s="1"/>
  <c r="AH55" i="38"/>
  <c r="AH68" i="38" s="1"/>
  <c r="AH69" i="38" s="1"/>
  <c r="AH70" i="38" s="1" a="1"/>
  <c r="AH70" i="38" s="1"/>
  <c r="AH28" i="38"/>
  <c r="AH27" i="38"/>
  <c r="W27" i="28"/>
  <c r="W28" i="28"/>
  <c r="W55" i="28"/>
  <c r="W68" i="28" s="1"/>
  <c r="W69" i="28" s="1"/>
  <c r="W70" i="28" s="1" a="1"/>
  <c r="W70" i="28" s="1"/>
  <c r="AD27" i="31"/>
  <c r="AD28" i="31"/>
  <c r="AD55" i="31"/>
  <c r="AD68" i="31" s="1"/>
  <c r="AD69" i="31" s="1"/>
  <c r="AD70" i="31" s="1" a="1"/>
  <c r="AD70" i="31" s="1"/>
  <c r="AD27" i="34"/>
  <c r="AD28" i="34"/>
  <c r="AD55" i="34"/>
  <c r="AD68" i="34" s="1"/>
  <c r="AD69" i="34" s="1"/>
  <c r="AD70" i="34" s="1" a="1"/>
  <c r="AD70" i="34" s="1"/>
  <c r="AG55" i="38"/>
  <c r="AG68" i="38" s="1"/>
  <c r="AG69" i="38" s="1"/>
  <c r="AG70" i="38" s="1" a="1"/>
  <c r="AG70" i="38" s="1"/>
  <c r="AG27" i="38"/>
  <c r="AG28" i="38"/>
  <c r="S52" i="35"/>
  <c r="S40" i="35" s="1"/>
  <c r="AK55" i="31"/>
  <c r="AK68" i="31" s="1"/>
  <c r="AK69" i="31" s="1"/>
  <c r="AK70" i="31" s="1" a="1"/>
  <c r="AK70" i="31" s="1"/>
  <c r="AK28" i="31"/>
  <c r="AK27" i="31"/>
  <c r="T27" i="32"/>
  <c r="T28" i="32"/>
  <c r="T55" i="32"/>
  <c r="T68" i="32" s="1"/>
  <c r="T69" i="32" s="1"/>
  <c r="T70" i="32" s="1" a="1"/>
  <c r="T70" i="32" s="1"/>
  <c r="K28" i="36"/>
  <c r="K27" i="36"/>
  <c r="K55" i="36"/>
  <c r="K68" i="36" s="1"/>
  <c r="K69" i="36" s="1"/>
  <c r="K70" i="36" s="1" a="1"/>
  <c r="K70" i="36" s="1"/>
  <c r="W27" i="31"/>
  <c r="W28" i="31"/>
  <c r="W55" i="31"/>
  <c r="W68" i="31" s="1"/>
  <c r="W69" i="31" s="1"/>
  <c r="W70" i="31" s="1" a="1"/>
  <c r="W70" i="31" s="1"/>
  <c r="R52" i="33"/>
  <c r="Z52" i="33"/>
  <c r="Z40" i="33" s="1"/>
  <c r="R72" i="32"/>
  <c r="R41" i="32"/>
  <c r="C23" i="28"/>
  <c r="C22" i="28" s="1"/>
  <c r="AH55" i="35"/>
  <c r="AH68" i="35" s="1"/>
  <c r="AH69" i="35" s="1"/>
  <c r="AH70" i="35" s="1" a="1"/>
  <c r="AH70" i="35" s="1"/>
  <c r="AH28" i="35"/>
  <c r="AH27" i="35"/>
  <c r="I72" i="33"/>
  <c r="I41" i="33"/>
  <c r="N41" i="30"/>
  <c r="N72" i="30"/>
  <c r="AA51" i="31"/>
  <c r="AA39" i="31" s="1"/>
  <c r="K72" i="32"/>
  <c r="K41" i="32"/>
  <c r="N52" i="31"/>
  <c r="N40" i="31" s="1"/>
  <c r="AI41" i="31"/>
  <c r="AI72" i="31"/>
  <c r="Q41" i="38"/>
  <c r="Q72" i="38"/>
  <c r="AD72" i="30"/>
  <c r="AD41" i="30"/>
  <c r="V52" i="34"/>
  <c r="V40" i="34" s="1"/>
  <c r="Y27" i="33"/>
  <c r="Y28" i="33"/>
  <c r="Y55" i="33"/>
  <c r="Y68" i="33" s="1"/>
  <c r="Y69" i="33" s="1"/>
  <c r="Y70" i="33" s="1" a="1"/>
  <c r="Y70" i="33" s="1"/>
  <c r="N52" i="29"/>
  <c r="N40" i="29" s="1"/>
  <c r="J28" i="31"/>
  <c r="J27" i="31"/>
  <c r="J55" i="31"/>
  <c r="J68" i="31" s="1"/>
  <c r="J69" i="31" s="1"/>
  <c r="J70" i="31" s="1" a="1"/>
  <c r="J70" i="31" s="1"/>
  <c r="Y52" i="33"/>
  <c r="Y40" i="33" s="1"/>
  <c r="AJ28" i="29"/>
  <c r="AJ27" i="29"/>
  <c r="AJ55" i="29"/>
  <c r="AJ68" i="29" s="1"/>
  <c r="AJ69" i="29" s="1"/>
  <c r="AJ70" i="29" s="1" a="1"/>
  <c r="AJ70" i="29" s="1"/>
  <c r="J52" i="31"/>
  <c r="J40" i="31" s="1"/>
  <c r="X28" i="36"/>
  <c r="X27" i="36"/>
  <c r="X55" i="36"/>
  <c r="X68" i="36" s="1"/>
  <c r="X69" i="36" s="1"/>
  <c r="X70" i="36" s="1" a="1"/>
  <c r="X70" i="36" s="1"/>
  <c r="U52" i="37"/>
  <c r="U40" i="37" s="1"/>
  <c r="O72" i="36"/>
  <c r="H28" i="37"/>
  <c r="H27" i="37"/>
  <c r="H55" i="37"/>
  <c r="H68" i="37" s="1"/>
  <c r="H69" i="37" s="1"/>
  <c r="H70" i="37" s="1" a="1"/>
  <c r="H70" i="37" s="1"/>
  <c r="AC55" i="29"/>
  <c r="AC68" i="29" s="1"/>
  <c r="AC69" i="29" s="1"/>
  <c r="AC70" i="29" s="1" a="1"/>
  <c r="AC70" i="29" s="1"/>
  <c r="AC28" i="29"/>
  <c r="AC27" i="29"/>
  <c r="R27" i="30"/>
  <c r="R28" i="30"/>
  <c r="R55" i="30"/>
  <c r="R68" i="30" s="1"/>
  <c r="R69" i="30" s="1"/>
  <c r="R70" i="30" s="1" a="1"/>
  <c r="R70" i="30" s="1"/>
  <c r="V51" i="33"/>
  <c r="V53" i="33" s="1"/>
  <c r="V66" i="33" s="1"/>
  <c r="AD72" i="33"/>
  <c r="AD41" i="33"/>
  <c r="H41" i="36"/>
  <c r="H72" i="36"/>
  <c r="Z41" i="28"/>
  <c r="Z72" i="28"/>
  <c r="AK51" i="38"/>
  <c r="AK39" i="38" s="1"/>
  <c r="J72" i="38"/>
  <c r="J41" i="38"/>
  <c r="AK72" i="30"/>
  <c r="AK41" i="30"/>
  <c r="S72" i="28"/>
  <c r="S41" i="28"/>
  <c r="Q27" i="31"/>
  <c r="Q28" i="31"/>
  <c r="Q55" i="31"/>
  <c r="Q68" i="31" s="1"/>
  <c r="Q69" i="31" s="1"/>
  <c r="Q70" i="31" s="1" a="1"/>
  <c r="Q70" i="31" s="1"/>
  <c r="AC27" i="28"/>
  <c r="AC28" i="28"/>
  <c r="AC55" i="28"/>
  <c r="AC68" i="28" s="1"/>
  <c r="AC69" i="28" s="1"/>
  <c r="AC70" i="28" s="1" a="1"/>
  <c r="AC70" i="28" s="1"/>
  <c r="AC27" i="34"/>
  <c r="AC28" i="34"/>
  <c r="AC55" i="34"/>
  <c r="AC68" i="34" s="1"/>
  <c r="AC69" i="34" s="1"/>
  <c r="AC70" i="34" s="1" a="1"/>
  <c r="AC70" i="34" s="1"/>
  <c r="AF55" i="30"/>
  <c r="AF68" i="30" s="1"/>
  <c r="AF69" i="30" s="1"/>
  <c r="AF70" i="30" s="1" a="1"/>
  <c r="AF70" i="30" s="1"/>
  <c r="AF27" i="30"/>
  <c r="AF28" i="30"/>
  <c r="H27" i="28"/>
  <c r="H28" i="28"/>
  <c r="H55" i="28"/>
  <c r="H68" i="28" s="1"/>
  <c r="H69" i="28" s="1"/>
  <c r="H70" i="28" s="1" a="1"/>
  <c r="H70" i="28" s="1"/>
  <c r="P27" i="28"/>
  <c r="P28" i="28"/>
  <c r="P55" i="28"/>
  <c r="P68" i="28" s="1"/>
  <c r="P69" i="28" s="1"/>
  <c r="P70" i="28" s="1" a="1"/>
  <c r="P70" i="28" s="1"/>
  <c r="N28" i="37"/>
  <c r="N27" i="37"/>
  <c r="N55" i="37"/>
  <c r="N68" i="37" s="1"/>
  <c r="N69" i="37" s="1"/>
  <c r="N70" i="37" s="1" a="1"/>
  <c r="N70" i="37" s="1"/>
  <c r="AI52" i="37"/>
  <c r="AI40" i="37" s="1"/>
  <c r="AF27" i="36"/>
  <c r="AF28" i="36"/>
  <c r="AF55" i="36"/>
  <c r="AF68" i="36" s="1"/>
  <c r="AF69" i="36" s="1"/>
  <c r="AF70" i="36" s="1" a="1"/>
  <c r="AF70" i="36" s="1"/>
  <c r="X52" i="31"/>
  <c r="X40" i="31" s="1"/>
  <c r="S27" i="33"/>
  <c r="S28" i="33"/>
  <c r="S55" i="33"/>
  <c r="S68" i="33" s="1"/>
  <c r="S69" i="33" s="1"/>
  <c r="S70" i="33" s="1" a="1"/>
  <c r="S70" i="33" s="1"/>
  <c r="AD28" i="28"/>
  <c r="AD27" i="28"/>
  <c r="AD55" i="28"/>
  <c r="AD68" i="28" s="1"/>
  <c r="AD69" i="28" s="1"/>
  <c r="AD70" i="28" s="1" a="1"/>
  <c r="AD70" i="28" s="1"/>
  <c r="O27" i="28"/>
  <c r="O28" i="28"/>
  <c r="O55" i="28"/>
  <c r="O68" i="28" s="1"/>
  <c r="O69" i="28" s="1"/>
  <c r="O70" i="28" s="1" a="1"/>
  <c r="O70" i="28" s="1"/>
  <c r="H52" i="37"/>
  <c r="O41" i="16"/>
  <c r="O72" i="16"/>
  <c r="AM3" i="32"/>
  <c r="I6" i="40" s="1"/>
  <c r="W72" i="33"/>
  <c r="W41" i="33"/>
  <c r="Z72" i="29"/>
  <c r="Z41" i="29"/>
  <c r="Z72" i="37"/>
  <c r="Z41" i="37"/>
  <c r="H72" i="34"/>
  <c r="H41" i="34"/>
  <c r="AE52" i="35"/>
  <c r="AE40" i="35" s="1"/>
  <c r="S40" i="30"/>
  <c r="S53" i="30"/>
  <c r="S66" i="30" s="1"/>
  <c r="J52" i="36"/>
  <c r="J40" i="36" s="1"/>
  <c r="S27" i="16"/>
  <c r="S28" i="16"/>
  <c r="S55" i="16"/>
  <c r="S68" i="16" s="1"/>
  <c r="S69" i="16" s="1"/>
  <c r="S70" i="16" s="1" a="1"/>
  <c r="S70" i="16" s="1"/>
  <c r="K27" i="30"/>
  <c r="K28" i="30"/>
  <c r="K55" i="30"/>
  <c r="K68" i="30" s="1"/>
  <c r="K69" i="30" s="1"/>
  <c r="K70" i="30" s="1" a="1"/>
  <c r="K70" i="30" s="1"/>
  <c r="AJ28" i="34"/>
  <c r="AJ27" i="34"/>
  <c r="AJ55" i="34"/>
  <c r="AJ68" i="34" s="1"/>
  <c r="AJ69" i="34" s="1"/>
  <c r="AJ70" i="34" s="1" a="1"/>
  <c r="AJ70" i="34" s="1"/>
  <c r="L55" i="33"/>
  <c r="L68" i="33" s="1"/>
  <c r="L69" i="33" s="1"/>
  <c r="L70" i="33" s="1" a="1"/>
  <c r="L70" i="33" s="1"/>
  <c r="L27" i="33"/>
  <c r="L28" i="33"/>
  <c r="AE27" i="31"/>
  <c r="AE28" i="31"/>
  <c r="AE55" i="31"/>
  <c r="AE68" i="31" s="1"/>
  <c r="AE69" i="31" s="1"/>
  <c r="AE70" i="31" s="1" a="1"/>
  <c r="AE70" i="31" s="1"/>
  <c r="AC40" i="31"/>
  <c r="R40" i="35"/>
  <c r="AA40" i="29"/>
  <c r="U27" i="32"/>
  <c r="U28" i="32"/>
  <c r="U55" i="32"/>
  <c r="U68" i="32" s="1"/>
  <c r="U69" i="32" s="1"/>
  <c r="U70" i="32" s="1" a="1"/>
  <c r="U70" i="32" s="1"/>
  <c r="L27" i="36"/>
  <c r="L28" i="36"/>
  <c r="L55" i="36"/>
  <c r="L68" i="36" s="1"/>
  <c r="L69" i="36" s="1"/>
  <c r="L70" i="36" s="1" a="1"/>
  <c r="L70" i="36" s="1"/>
  <c r="O52" i="32"/>
  <c r="O40" i="32" s="1"/>
  <c r="O28" i="32"/>
  <c r="O27" i="32"/>
  <c r="O55" i="32"/>
  <c r="O68" i="32" s="1"/>
  <c r="O69" i="32" s="1"/>
  <c r="O70" i="32" s="1" a="1"/>
  <c r="O70" i="32" s="1"/>
  <c r="Z28" i="34"/>
  <c r="Z27" i="34"/>
  <c r="Z55" i="34"/>
  <c r="Z68" i="34" s="1"/>
  <c r="Z69" i="34" s="1"/>
  <c r="Z70" i="34" s="1" a="1"/>
  <c r="Z70" i="34" s="1"/>
  <c r="S27" i="29"/>
  <c r="S28" i="29"/>
  <c r="S55" i="29"/>
  <c r="S68" i="29" s="1"/>
  <c r="S69" i="29" s="1"/>
  <c r="S70" i="29" s="1" a="1"/>
  <c r="S70" i="29" s="1"/>
  <c r="AJ27" i="30"/>
  <c r="AJ28" i="30"/>
  <c r="AJ55" i="30"/>
  <c r="AJ68" i="30" s="1"/>
  <c r="AJ69" i="30" s="1"/>
  <c r="AJ70" i="30" s="1" a="1"/>
  <c r="AJ70" i="30" s="1"/>
  <c r="AJ27" i="31"/>
  <c r="AJ28" i="31"/>
  <c r="AJ55" i="31"/>
  <c r="AJ68" i="31" s="1"/>
  <c r="AJ69" i="31" s="1"/>
  <c r="AJ70" i="31" s="1" a="1"/>
  <c r="AJ70" i="31" s="1"/>
  <c r="AD27" i="32"/>
  <c r="AD28" i="32"/>
  <c r="AD55" i="32"/>
  <c r="AD68" i="32" s="1"/>
  <c r="AD69" i="32" s="1"/>
  <c r="AD70" i="32" s="1" a="1"/>
  <c r="AD70" i="32" s="1"/>
  <c r="AJ39" i="36"/>
  <c r="AA27" i="30"/>
  <c r="AA28" i="30"/>
  <c r="AA55" i="30"/>
  <c r="AA68" i="30" s="1"/>
  <c r="AA69" i="30" s="1"/>
  <c r="AA70" i="30" s="1" a="1"/>
  <c r="AA70" i="30" s="1"/>
  <c r="S28" i="32"/>
  <c r="S27" i="32"/>
  <c r="S55" i="32"/>
  <c r="S68" i="32" s="1"/>
  <c r="S69" i="32" s="1"/>
  <c r="S70" i="32" s="1" a="1"/>
  <c r="S70" i="32" s="1"/>
  <c r="P52" i="36"/>
  <c r="P27" i="36"/>
  <c r="P28" i="36"/>
  <c r="P55" i="36"/>
  <c r="P68" i="36" s="1"/>
  <c r="P69" i="36" s="1"/>
  <c r="P70" i="36" s="1" a="1"/>
  <c r="P70" i="36" s="1"/>
  <c r="AD52" i="32"/>
  <c r="R28" i="38"/>
  <c r="R27" i="38"/>
  <c r="R55" i="38"/>
  <c r="R68" i="38" s="1"/>
  <c r="R69" i="38" s="1"/>
  <c r="R70" i="38" s="1" a="1"/>
  <c r="R70" i="38" s="1"/>
  <c r="Q51" i="32"/>
  <c r="Q27" i="32"/>
  <c r="Q28" i="32"/>
  <c r="Q55" i="32"/>
  <c r="Q68" i="32" s="1"/>
  <c r="Q69" i="32" s="1"/>
  <c r="Q70" i="32" s="1" a="1"/>
  <c r="Q70" i="32" s="1"/>
  <c r="AA27" i="28"/>
  <c r="AA28" i="28"/>
  <c r="AA55" i="28"/>
  <c r="AA68" i="28" s="1"/>
  <c r="AA69" i="28" s="1"/>
  <c r="AA70" i="28" s="1" a="1"/>
  <c r="AA70" i="28" s="1"/>
  <c r="Y27" i="35"/>
  <c r="Y28" i="35"/>
  <c r="Y55" i="35"/>
  <c r="Y68" i="35" s="1"/>
  <c r="Y69" i="35" s="1"/>
  <c r="Y70" i="35" s="1" a="1"/>
  <c r="Y70" i="35" s="1"/>
  <c r="AA27" i="34"/>
  <c r="AA28" i="34"/>
  <c r="AA55" i="34"/>
  <c r="AA68" i="34" s="1"/>
  <c r="AA69" i="34" s="1"/>
  <c r="AA70" i="34" s="1" a="1"/>
  <c r="AA70" i="34" s="1"/>
  <c r="R27" i="29"/>
  <c r="R28" i="29"/>
  <c r="R55" i="29"/>
  <c r="R68" i="29" s="1"/>
  <c r="R69" i="29" s="1"/>
  <c r="R70" i="29" s="1" a="1"/>
  <c r="R70" i="29" s="1"/>
  <c r="I27" i="36"/>
  <c r="I28" i="36"/>
  <c r="I55" i="36"/>
  <c r="I68" i="36" s="1"/>
  <c r="I69" i="36" s="1"/>
  <c r="I70" i="36" s="1" a="1"/>
  <c r="I70" i="36" s="1"/>
  <c r="N27" i="30"/>
  <c r="N28" i="30"/>
  <c r="N55" i="30"/>
  <c r="N68" i="30" s="1"/>
  <c r="N69" i="30" s="1"/>
  <c r="N70" i="30" s="1" a="1"/>
  <c r="N70" i="30" s="1"/>
  <c r="AH28" i="34"/>
  <c r="AH27" i="34"/>
  <c r="AH55" i="34"/>
  <c r="AH68" i="34" s="1"/>
  <c r="AH69" i="34" s="1"/>
  <c r="AH70" i="34" s="1" a="1"/>
  <c r="AH70" i="34" s="1"/>
  <c r="M27" i="35"/>
  <c r="M28" i="35"/>
  <c r="M55" i="35"/>
  <c r="M68" i="35" s="1"/>
  <c r="M69" i="35" s="1"/>
  <c r="M70" i="35" s="1" a="1"/>
  <c r="M70" i="35" s="1"/>
  <c r="T27" i="34"/>
  <c r="T28" i="34"/>
  <c r="T55" i="34"/>
  <c r="T68" i="34" s="1"/>
  <c r="T69" i="34" s="1"/>
  <c r="T70" i="34" s="1" a="1"/>
  <c r="T70" i="34" s="1"/>
  <c r="L27" i="28"/>
  <c r="L28" i="28"/>
  <c r="L55" i="28"/>
  <c r="L68" i="28" s="1"/>
  <c r="L69" i="28" s="1"/>
  <c r="L70" i="28" s="1" a="1"/>
  <c r="L70" i="28" s="1"/>
  <c r="M27" i="16"/>
  <c r="M28" i="16"/>
  <c r="M55" i="16"/>
  <c r="M68" i="16" s="1"/>
  <c r="M69" i="16" s="1"/>
  <c r="M70" i="16" s="1" a="1"/>
  <c r="M70" i="16" s="1"/>
  <c r="O31" i="40"/>
  <c r="O45" i="40"/>
  <c r="K27" i="38"/>
  <c r="K28" i="38"/>
  <c r="K55" i="38"/>
  <c r="K68" i="38" s="1"/>
  <c r="K69" i="38" s="1"/>
  <c r="K70" i="38" s="1" a="1"/>
  <c r="K70" i="38" s="1"/>
  <c r="U27" i="35"/>
  <c r="U28" i="35"/>
  <c r="U55" i="35"/>
  <c r="U68" i="35" s="1"/>
  <c r="U69" i="35" s="1"/>
  <c r="U70" i="35" s="1" a="1"/>
  <c r="U70" i="35" s="1"/>
  <c r="P27" i="30"/>
  <c r="P28" i="30"/>
  <c r="P55" i="30"/>
  <c r="P68" i="30" s="1"/>
  <c r="P69" i="30" s="1"/>
  <c r="P70" i="30" s="1" a="1"/>
  <c r="P70" i="30" s="1"/>
  <c r="AI55" i="33"/>
  <c r="AI68" i="33" s="1"/>
  <c r="AI69" i="33" s="1"/>
  <c r="AI70" i="33" s="1" a="1"/>
  <c r="AI70" i="33" s="1"/>
  <c r="AI28" i="33"/>
  <c r="AI27" i="33"/>
  <c r="V28" i="33"/>
  <c r="V27" i="33"/>
  <c r="V55" i="33"/>
  <c r="V68" i="33" s="1"/>
  <c r="V69" i="33" s="1"/>
  <c r="V70" i="33" s="1" a="1"/>
  <c r="V70" i="33" s="1"/>
  <c r="AF27" i="35"/>
  <c r="AF28" i="35"/>
  <c r="AF55" i="35"/>
  <c r="AF68" i="35" s="1"/>
  <c r="AF69" i="35" s="1"/>
  <c r="AF70" i="35" s="1" a="1"/>
  <c r="AF70" i="35" s="1"/>
  <c r="O28" i="36"/>
  <c r="O27" i="36"/>
  <c r="O55" i="36"/>
  <c r="O68" i="36" s="1"/>
  <c r="O69" i="36" s="1"/>
  <c r="O70" i="36" s="1" a="1"/>
  <c r="O70" i="36" s="1"/>
  <c r="AA28" i="37"/>
  <c r="AA27" i="37"/>
  <c r="AA55" i="37"/>
  <c r="AA68" i="37" s="1"/>
  <c r="AA69" i="37" s="1"/>
  <c r="AA70" i="37" s="1" a="1"/>
  <c r="AA70" i="37" s="1"/>
  <c r="M52" i="16"/>
  <c r="AI52" i="33"/>
  <c r="AI40" i="33" s="1"/>
  <c r="R52" i="38"/>
  <c r="R40" i="38" s="1"/>
  <c r="Q27" i="37"/>
  <c r="Q28" i="37"/>
  <c r="Q55" i="37"/>
  <c r="Q68" i="37" s="1"/>
  <c r="Q69" i="37" s="1"/>
  <c r="Q70" i="37" s="1" a="1"/>
  <c r="Q70" i="37" s="1"/>
  <c r="T27" i="28"/>
  <c r="T28" i="28"/>
  <c r="T55" i="28"/>
  <c r="T68" i="28" s="1"/>
  <c r="T69" i="28" s="1"/>
  <c r="T70" i="28" s="1" a="1"/>
  <c r="T70" i="28" s="1"/>
  <c r="AG27" i="36"/>
  <c r="AG28" i="36"/>
  <c r="AG55" i="36"/>
  <c r="AG68" i="36" s="1"/>
  <c r="AG69" i="36" s="1"/>
  <c r="AG70" i="36" s="1" a="1"/>
  <c r="AG70" i="36" s="1"/>
  <c r="AA27" i="33"/>
  <c r="AA28" i="33"/>
  <c r="AA55" i="33"/>
  <c r="AA68" i="33" s="1"/>
  <c r="AA69" i="33" s="1"/>
  <c r="AA70" i="33" s="1" a="1"/>
  <c r="AA70" i="33" s="1"/>
  <c r="O27" i="38"/>
  <c r="O28" i="38"/>
  <c r="O55" i="38"/>
  <c r="O68" i="38" s="1"/>
  <c r="O69" i="38" s="1"/>
  <c r="O70" i="38" s="1" a="1"/>
  <c r="O70" i="38" s="1"/>
  <c r="V51" i="28"/>
  <c r="O27" i="35"/>
  <c r="O28" i="35"/>
  <c r="O55" i="35"/>
  <c r="O68" i="35" s="1"/>
  <c r="O69" i="35" s="1"/>
  <c r="O70" i="35" s="1" a="1"/>
  <c r="O70" i="35" s="1"/>
  <c r="AL27" i="16"/>
  <c r="AL28" i="16"/>
  <c r="AL55" i="16"/>
  <c r="AL68" i="16" s="1"/>
  <c r="AL69" i="16" s="1"/>
  <c r="AL70" i="16" s="1" a="1"/>
  <c r="AL70" i="16" s="1"/>
  <c r="AD27" i="36"/>
  <c r="AD28" i="36"/>
  <c r="AD55" i="36"/>
  <c r="AD68" i="36" s="1"/>
  <c r="AD69" i="36" s="1"/>
  <c r="AD70" i="36" s="1" a="1"/>
  <c r="AD70" i="36" s="1"/>
  <c r="AG27" i="30"/>
  <c r="AG28" i="30"/>
  <c r="AG55" i="30"/>
  <c r="AG68" i="30" s="1"/>
  <c r="AG69" i="30" s="1"/>
  <c r="AG70" i="30" s="1" a="1"/>
  <c r="AG70" i="30" s="1"/>
  <c r="P52" i="16"/>
  <c r="P27" i="16"/>
  <c r="P28" i="16"/>
  <c r="P55" i="16"/>
  <c r="P68" i="16" s="1"/>
  <c r="P69" i="16" s="1"/>
  <c r="P70" i="16" s="1" a="1"/>
  <c r="P70" i="16" s="1"/>
  <c r="D45" i="40"/>
  <c r="D31" i="40"/>
  <c r="V28" i="35"/>
  <c r="V27" i="35"/>
  <c r="V55" i="35"/>
  <c r="V68" i="35" s="1"/>
  <c r="V69" i="35" s="1"/>
  <c r="V70" i="35" s="1" a="1"/>
  <c r="V70" i="35" s="1"/>
  <c r="AI27" i="31"/>
  <c r="AI28" i="31"/>
  <c r="AI55" i="31"/>
  <c r="AI68" i="31" s="1"/>
  <c r="AI69" i="31" s="1"/>
  <c r="AI70" i="31" s="1" a="1"/>
  <c r="AI70" i="31" s="1"/>
  <c r="J28" i="38"/>
  <c r="J27" i="38"/>
  <c r="J55" i="38"/>
  <c r="J68" i="38" s="1"/>
  <c r="J69" i="38" s="1"/>
  <c r="J70" i="38" s="1" a="1"/>
  <c r="J70" i="38" s="1"/>
  <c r="AD52" i="36"/>
  <c r="AD40" i="36" s="1"/>
  <c r="AK27" i="30"/>
  <c r="AK28" i="30"/>
  <c r="AK55" i="30"/>
  <c r="AK68" i="30" s="1"/>
  <c r="AK69" i="30" s="1"/>
  <c r="AK70" i="30" s="1" a="1"/>
  <c r="AK70" i="30" s="1"/>
  <c r="L27" i="38"/>
  <c r="L28" i="38"/>
  <c r="L55" i="38"/>
  <c r="L68" i="38" s="1"/>
  <c r="L69" i="38" s="1"/>
  <c r="L70" i="38" s="1" a="1"/>
  <c r="L70" i="38" s="1"/>
  <c r="G31" i="40"/>
  <c r="G45" i="40"/>
  <c r="W27" i="30"/>
  <c r="W28" i="30"/>
  <c r="W55" i="30"/>
  <c r="W68" i="30" s="1"/>
  <c r="W69" i="30" s="1"/>
  <c r="W70" i="30" s="1" a="1"/>
  <c r="W70" i="30" s="1"/>
  <c r="Y27" i="28"/>
  <c r="Y28" i="28"/>
  <c r="Y55" i="28"/>
  <c r="Y68" i="28" s="1"/>
  <c r="Y69" i="28" s="1"/>
  <c r="Y70" i="28" s="1" a="1"/>
  <c r="Y70" i="28" s="1"/>
  <c r="I27" i="28"/>
  <c r="I28" i="28"/>
  <c r="AM26" i="28"/>
  <c r="E15" i="40" s="1"/>
  <c r="I55" i="28"/>
  <c r="W27" i="32"/>
  <c r="W28" i="32"/>
  <c r="W55" i="32"/>
  <c r="W68" i="32" s="1"/>
  <c r="W69" i="32" s="1"/>
  <c r="W70" i="32" s="1" a="1"/>
  <c r="W70" i="32" s="1"/>
  <c r="AK28" i="29"/>
  <c r="AK27" i="29"/>
  <c r="AK55" i="29"/>
  <c r="AK68" i="29" s="1"/>
  <c r="AK69" i="29" s="1"/>
  <c r="AK70" i="29" s="1" a="1"/>
  <c r="AK70" i="29" s="1"/>
  <c r="AD28" i="30"/>
  <c r="AD27" i="30"/>
  <c r="AD55" i="30"/>
  <c r="AD68" i="30" s="1"/>
  <c r="AD69" i="30" s="1"/>
  <c r="AD70" i="30" s="1" a="1"/>
  <c r="AD70" i="30" s="1"/>
  <c r="AA27" i="36"/>
  <c r="AA28" i="36"/>
  <c r="AA55" i="36"/>
  <c r="AA68" i="36" s="1"/>
  <c r="AA69" i="36" s="1"/>
  <c r="AA70" i="36" s="1" a="1"/>
  <c r="AA70" i="36" s="1"/>
  <c r="AL40" i="34"/>
  <c r="AL53" i="34"/>
  <c r="AL66" i="34" s="1"/>
  <c r="AM3" i="36"/>
  <c r="M6" i="40" s="1"/>
  <c r="K27" i="35"/>
  <c r="K28" i="35"/>
  <c r="K55" i="35"/>
  <c r="K68" i="35" s="1"/>
  <c r="K69" i="35" s="1"/>
  <c r="K70" i="35" s="1" a="1"/>
  <c r="K70" i="35" s="1"/>
  <c r="L27" i="37"/>
  <c r="L28" i="37"/>
  <c r="L55" i="37"/>
  <c r="L68" i="37" s="1"/>
  <c r="L69" i="37" s="1"/>
  <c r="L70" i="37" s="1" a="1"/>
  <c r="L70" i="37" s="1"/>
  <c r="AC27" i="36"/>
  <c r="AC28" i="36"/>
  <c r="AC55" i="36"/>
  <c r="AC68" i="36" s="1"/>
  <c r="AC69" i="36" s="1"/>
  <c r="AC70" i="36" s="1" a="1"/>
  <c r="AC70" i="36" s="1"/>
  <c r="Z27" i="36"/>
  <c r="Z28" i="36"/>
  <c r="Z55" i="36"/>
  <c r="Z68" i="36" s="1"/>
  <c r="Z69" i="36" s="1"/>
  <c r="Z70" i="36" s="1" a="1"/>
  <c r="Z70" i="36" s="1"/>
  <c r="AD27" i="33"/>
  <c r="AD28" i="33"/>
  <c r="AD55" i="33"/>
  <c r="AD68" i="33" s="1"/>
  <c r="AD69" i="33" s="1"/>
  <c r="AD70" i="33" s="1" a="1"/>
  <c r="AD70" i="33" s="1"/>
  <c r="M27" i="38"/>
  <c r="M28" i="38"/>
  <c r="M55" i="38"/>
  <c r="M68" i="38" s="1"/>
  <c r="M69" i="38" s="1"/>
  <c r="M70" i="38" s="1" a="1"/>
  <c r="M70" i="38" s="1"/>
  <c r="AE27" i="34"/>
  <c r="AE28" i="34"/>
  <c r="AE55" i="34"/>
  <c r="AE68" i="34" s="1"/>
  <c r="AE69" i="34" s="1"/>
  <c r="AE70" i="34" s="1" a="1"/>
  <c r="AE70" i="34" s="1"/>
  <c r="AD27" i="38"/>
  <c r="AD28" i="38"/>
  <c r="AD55" i="38"/>
  <c r="AD68" i="38" s="1"/>
  <c r="AD69" i="38" s="1"/>
  <c r="AD70" i="38" s="1" a="1"/>
  <c r="AD70" i="38" s="1"/>
  <c r="AK27" i="16"/>
  <c r="AK28" i="16"/>
  <c r="AK55" i="16"/>
  <c r="AK68" i="16" s="1"/>
  <c r="AK69" i="16" s="1"/>
  <c r="AK70" i="16" s="1" a="1"/>
  <c r="AK70" i="16" s="1"/>
  <c r="R27" i="31"/>
  <c r="R28" i="31"/>
  <c r="R55" i="31"/>
  <c r="R68" i="31" s="1"/>
  <c r="R69" i="31" s="1"/>
  <c r="R70" i="31" s="1" a="1"/>
  <c r="R70" i="31" s="1"/>
  <c r="M27" i="30"/>
  <c r="M28" i="30"/>
  <c r="M55" i="30"/>
  <c r="M68" i="30" s="1"/>
  <c r="M69" i="30" s="1"/>
  <c r="M70" i="30" s="1" a="1"/>
  <c r="M70" i="30" s="1"/>
  <c r="S28" i="37"/>
  <c r="S27" i="37"/>
  <c r="S55" i="37"/>
  <c r="S68" i="37" s="1"/>
  <c r="S69" i="37" s="1"/>
  <c r="S70" i="37" s="1" a="1"/>
  <c r="S70" i="37" s="1"/>
  <c r="AG28" i="34"/>
  <c r="AG27" i="34"/>
  <c r="AG55" i="34"/>
  <c r="AG68" i="34" s="1"/>
  <c r="AG69" i="34" s="1"/>
  <c r="AG70" i="34" s="1" a="1"/>
  <c r="AG70" i="34" s="1"/>
  <c r="AA52" i="34"/>
  <c r="AI28" i="35"/>
  <c r="AI27" i="35"/>
  <c r="AI55" i="35"/>
  <c r="AI68" i="35" s="1"/>
  <c r="AI69" i="35" s="1"/>
  <c r="AI70" i="35" s="1" a="1"/>
  <c r="AI70" i="35" s="1"/>
  <c r="T28" i="37"/>
  <c r="T27" i="37"/>
  <c r="T55" i="37"/>
  <c r="T68" i="37" s="1"/>
  <c r="T69" i="37" s="1"/>
  <c r="T70" i="37" s="1" a="1"/>
  <c r="T70" i="37" s="1"/>
  <c r="R52" i="31"/>
  <c r="Y27" i="31"/>
  <c r="Y28" i="31"/>
  <c r="Y55" i="31"/>
  <c r="Y68" i="31" s="1"/>
  <c r="Y69" i="31" s="1"/>
  <c r="Y70" i="31" s="1" a="1"/>
  <c r="Y70" i="31" s="1"/>
  <c r="M27" i="28"/>
  <c r="M28" i="28"/>
  <c r="M55" i="28"/>
  <c r="M68" i="28" s="1"/>
  <c r="M69" i="28" s="1"/>
  <c r="M70" i="28" s="1" a="1"/>
  <c r="M70" i="28" s="1"/>
  <c r="AB28" i="30"/>
  <c r="AB27" i="30"/>
  <c r="AB55" i="30"/>
  <c r="AB68" i="30" s="1"/>
  <c r="AB69" i="30" s="1"/>
  <c r="AB70" i="30" s="1" a="1"/>
  <c r="AB70" i="30" s="1"/>
  <c r="V28" i="36"/>
  <c r="V27" i="36"/>
  <c r="V55" i="36"/>
  <c r="V68" i="36" s="1"/>
  <c r="V69" i="36" s="1"/>
  <c r="V70" i="36" s="1" a="1"/>
  <c r="V70" i="36" s="1"/>
  <c r="Q27" i="28"/>
  <c r="Q28" i="28"/>
  <c r="Q55" i="28"/>
  <c r="Q68" i="28" s="1"/>
  <c r="Q69" i="28" s="1"/>
  <c r="Q70" i="28" s="1" a="1"/>
  <c r="Q70" i="28" s="1"/>
  <c r="P36" i="40"/>
  <c r="U52" i="34"/>
  <c r="U27" i="34"/>
  <c r="U28" i="34"/>
  <c r="U55" i="34"/>
  <c r="U68" i="34" s="1"/>
  <c r="U69" i="34" s="1"/>
  <c r="U70" i="34" s="1" a="1"/>
  <c r="U70" i="34" s="1"/>
  <c r="I27" i="38"/>
  <c r="I28" i="38"/>
  <c r="I55" i="38"/>
  <c r="I68" i="38" s="1"/>
  <c r="I69" i="38" s="1"/>
  <c r="I70" i="38" s="1" a="1"/>
  <c r="I70" i="38" s="1"/>
  <c r="P33" i="40"/>
  <c r="I27" i="32"/>
  <c r="I28" i="32"/>
  <c r="I55" i="32"/>
  <c r="I68" i="32" s="1"/>
  <c r="I69" i="32" s="1"/>
  <c r="I70" i="32" s="1" a="1"/>
  <c r="I70" i="32" s="1"/>
  <c r="I52" i="36"/>
  <c r="F31" i="40"/>
  <c r="F45" i="40"/>
  <c r="P27" i="35"/>
  <c r="P28" i="35"/>
  <c r="P55" i="35"/>
  <c r="P68" i="35" s="1"/>
  <c r="P69" i="35" s="1"/>
  <c r="P70" i="35" s="1" a="1"/>
  <c r="P70" i="35" s="1"/>
  <c r="AA27" i="16"/>
  <c r="AA28" i="16"/>
  <c r="AA55" i="16"/>
  <c r="AA68" i="16" s="1"/>
  <c r="AA69" i="16" s="1"/>
  <c r="AA70" i="16" s="1" a="1"/>
  <c r="AA70" i="16" s="1"/>
  <c r="AJ27" i="36"/>
  <c r="AJ28" i="36"/>
  <c r="AJ55" i="36"/>
  <c r="AJ68" i="36" s="1"/>
  <c r="AJ69" i="36" s="1"/>
  <c r="AJ70" i="36" s="1" a="1"/>
  <c r="AJ70" i="36" s="1"/>
  <c r="X27" i="28"/>
  <c r="X28" i="28"/>
  <c r="X55" i="28"/>
  <c r="X68" i="28" s="1"/>
  <c r="X69" i="28" s="1"/>
  <c r="X70" i="28" s="1" a="1"/>
  <c r="X70" i="28" s="1"/>
  <c r="S52" i="36"/>
  <c r="S28" i="36"/>
  <c r="S27" i="36"/>
  <c r="S55" i="36"/>
  <c r="S68" i="36" s="1"/>
  <c r="S69" i="36" s="1"/>
  <c r="S70" i="36" s="1" a="1"/>
  <c r="S70" i="36" s="1"/>
  <c r="J27" i="35"/>
  <c r="J28" i="35"/>
  <c r="J55" i="35"/>
  <c r="J68" i="35" s="1"/>
  <c r="J69" i="35" s="1"/>
  <c r="J70" i="35" s="1" a="1"/>
  <c r="J70" i="35" s="1"/>
  <c r="X27" i="37"/>
  <c r="X28" i="37"/>
  <c r="X55" i="37"/>
  <c r="X68" i="37" s="1"/>
  <c r="X69" i="37" s="1"/>
  <c r="X70" i="37" s="1" a="1"/>
  <c r="X70" i="37" s="1"/>
  <c r="AM26" i="16"/>
  <c r="D15" i="40" s="1"/>
  <c r="J27" i="16"/>
  <c r="J28" i="16"/>
  <c r="J55" i="16"/>
  <c r="Y28" i="29"/>
  <c r="Y27" i="29"/>
  <c r="Y55" i="29"/>
  <c r="Y68" i="29" s="1"/>
  <c r="Y69" i="29" s="1"/>
  <c r="Y70" i="29" s="1" a="1"/>
  <c r="T27" i="29"/>
  <c r="T28" i="29"/>
  <c r="T55" i="29"/>
  <c r="T68" i="29" s="1"/>
  <c r="T69" i="29" s="1"/>
  <c r="T70" i="29" s="1" a="1"/>
  <c r="T70" i="29" s="1"/>
  <c r="AF27" i="37"/>
  <c r="AF28" i="37"/>
  <c r="AF55" i="37"/>
  <c r="AF68" i="37" s="1"/>
  <c r="AF69" i="37" s="1"/>
  <c r="AF70" i="37" s="1" a="1"/>
  <c r="AF70" i="37" s="1"/>
  <c r="AB51" i="37"/>
  <c r="M28" i="29"/>
  <c r="M27" i="29"/>
  <c r="M55" i="29"/>
  <c r="M68" i="29" s="1"/>
  <c r="M69" i="29" s="1"/>
  <c r="M70" i="29" s="1" a="1"/>
  <c r="M70" i="29" s="1"/>
  <c r="O52" i="35"/>
  <c r="O40" i="35" s="1"/>
  <c r="M27" i="34"/>
  <c r="M28" i="34"/>
  <c r="M55" i="34"/>
  <c r="M68" i="34" s="1"/>
  <c r="M69" i="34" s="1"/>
  <c r="M70" i="34" s="1" a="1"/>
  <c r="M70" i="34" s="1"/>
  <c r="AK28" i="36"/>
  <c r="AK27" i="36"/>
  <c r="AK55" i="36"/>
  <c r="AK68" i="36" s="1"/>
  <c r="AK69" i="36" s="1"/>
  <c r="AK70" i="36" s="1" a="1"/>
  <c r="AK70" i="36" s="1"/>
  <c r="I28" i="34"/>
  <c r="I27" i="34"/>
  <c r="I55" i="34"/>
  <c r="I68" i="34" s="1"/>
  <c r="I69" i="34" s="1"/>
  <c r="I70" i="34" s="1" a="1"/>
  <c r="I70" i="34" s="1"/>
  <c r="AB52" i="28"/>
  <c r="AB27" i="28"/>
  <c r="AB28" i="28"/>
  <c r="AB55" i="28"/>
  <c r="AB68" i="28" s="1"/>
  <c r="AB69" i="28" s="1"/>
  <c r="AB70" i="28" s="1" a="1"/>
  <c r="AB70" i="28" s="1"/>
  <c r="AC27" i="16"/>
  <c r="AC28" i="16"/>
  <c r="AC55" i="16"/>
  <c r="AC68" i="16" s="1"/>
  <c r="AC69" i="16" s="1"/>
  <c r="AC70" i="16" s="1" a="1"/>
  <c r="AC70" i="16" s="1"/>
  <c r="V27" i="38"/>
  <c r="V28" i="38"/>
  <c r="V55" i="38"/>
  <c r="V68" i="38" s="1"/>
  <c r="V69" i="38" s="1"/>
  <c r="V70" i="38" s="1" a="1"/>
  <c r="V70" i="38" s="1"/>
  <c r="J52" i="37"/>
  <c r="J28" i="37"/>
  <c r="J27" i="37"/>
  <c r="J55" i="37"/>
  <c r="J68" i="37" s="1"/>
  <c r="J69" i="37" s="1"/>
  <c r="J70" i="37" s="1" a="1"/>
  <c r="J70" i="37" s="1"/>
  <c r="I28" i="29"/>
  <c r="I27" i="29"/>
  <c r="AM26" i="29"/>
  <c r="F15" i="40" s="1"/>
  <c r="I55" i="29"/>
  <c r="Z52" i="16"/>
  <c r="Z27" i="16"/>
  <c r="Z28" i="16"/>
  <c r="Z55" i="16"/>
  <c r="Z68" i="16" s="1"/>
  <c r="Z69" i="16" s="1"/>
  <c r="Z70" i="16" s="1" a="1"/>
  <c r="Z70" i="16" s="1"/>
  <c r="AA27" i="31"/>
  <c r="AA28" i="31"/>
  <c r="AA55" i="31"/>
  <c r="AA68" i="31" s="1"/>
  <c r="AA69" i="31" s="1"/>
  <c r="AA70" i="31" s="1" a="1"/>
  <c r="AA70" i="31" s="1"/>
  <c r="AM3" i="16"/>
  <c r="D6" i="40" s="1"/>
  <c r="AK27" i="33"/>
  <c r="AK28" i="33"/>
  <c r="AK55" i="33"/>
  <c r="AK68" i="33" s="1"/>
  <c r="AK69" i="33" s="1"/>
  <c r="AK70" i="33" s="1" a="1"/>
  <c r="AK70" i="33" s="1"/>
  <c r="AH28" i="33"/>
  <c r="AH27" i="33"/>
  <c r="AH55" i="33"/>
  <c r="AH68" i="33" s="1"/>
  <c r="AH69" i="33" s="1"/>
  <c r="AH70" i="33" s="1" a="1"/>
  <c r="AH70" i="33" s="1"/>
  <c r="AC28" i="32"/>
  <c r="AC27" i="32"/>
  <c r="AC55" i="32"/>
  <c r="AC68" i="32" s="1"/>
  <c r="AC69" i="32" s="1"/>
  <c r="AC70" i="32" s="1" a="1"/>
  <c r="AC70" i="32" s="1"/>
  <c r="AK28" i="38"/>
  <c r="AK27" i="38"/>
  <c r="AK55" i="38"/>
  <c r="AK68" i="38" s="1"/>
  <c r="AK69" i="38" s="1"/>
  <c r="AK70" i="38" s="1" a="1"/>
  <c r="AK70" i="38" s="1"/>
  <c r="H51" i="33"/>
  <c r="AM3" i="33"/>
  <c r="J6" i="40" s="1"/>
  <c r="N55" i="36"/>
  <c r="N68" i="36" s="1"/>
  <c r="N69" i="36" s="1"/>
  <c r="N70" i="36" s="1" a="1"/>
  <c r="N70" i="36" s="1"/>
  <c r="N27" i="36"/>
  <c r="N28" i="36"/>
  <c r="T27" i="31"/>
  <c r="T28" i="31"/>
  <c r="T55" i="31"/>
  <c r="T68" i="31" s="1"/>
  <c r="T69" i="31" s="1"/>
  <c r="T70" i="31" s="1" a="1"/>
  <c r="T70" i="31" s="1"/>
  <c r="T52" i="35"/>
  <c r="T27" i="35"/>
  <c r="T28" i="35"/>
  <c r="T55" i="35"/>
  <c r="T68" i="35" s="1"/>
  <c r="T69" i="35" s="1"/>
  <c r="T70" i="35" s="1" a="1"/>
  <c r="T70" i="35" s="1"/>
  <c r="O27" i="31"/>
  <c r="O28" i="31"/>
  <c r="O55" i="31"/>
  <c r="O68" i="31" s="1"/>
  <c r="O69" i="31" s="1"/>
  <c r="O70" i="31" s="1" a="1"/>
  <c r="O70" i="31" s="1"/>
  <c r="V28" i="28"/>
  <c r="V27" i="28"/>
  <c r="V55" i="28"/>
  <c r="V68" i="28" s="1"/>
  <c r="V69" i="28" s="1"/>
  <c r="V70" i="28" s="1" a="1"/>
  <c r="V70" i="28" s="1"/>
  <c r="U27" i="38"/>
  <c r="U28" i="38"/>
  <c r="U55" i="38"/>
  <c r="U68" i="38" s="1"/>
  <c r="U69" i="38" s="1"/>
  <c r="U70" i="38" s="1" a="1"/>
  <c r="U70" i="38" s="1"/>
  <c r="L52" i="32"/>
  <c r="L27" i="32"/>
  <c r="L28" i="32"/>
  <c r="L55" i="32"/>
  <c r="L68" i="32" s="1"/>
  <c r="L69" i="32" s="1"/>
  <c r="L70" i="32" s="1" a="1"/>
  <c r="L70" i="32" s="1"/>
  <c r="Z52" i="34"/>
  <c r="AH27" i="31"/>
  <c r="AH28" i="31"/>
  <c r="AH55" i="31"/>
  <c r="AH68" i="31" s="1"/>
  <c r="AH69" i="31" s="1"/>
  <c r="AH70" i="31" s="1" a="1"/>
  <c r="AH70" i="31" s="1"/>
  <c r="K27" i="31"/>
  <c r="K28" i="31"/>
  <c r="K55" i="31"/>
  <c r="K68" i="31" s="1"/>
  <c r="K69" i="31" s="1"/>
  <c r="K70" i="31" s="1" a="1"/>
  <c r="K70" i="31" s="1"/>
  <c r="Y51" i="30"/>
  <c r="L28" i="16"/>
  <c r="L27" i="16"/>
  <c r="L67" i="16"/>
  <c r="L55" i="16"/>
  <c r="L68" i="16" s="1"/>
  <c r="W52" i="36"/>
  <c r="W27" i="36"/>
  <c r="W28" i="36"/>
  <c r="W55" i="36"/>
  <c r="W68" i="36" s="1"/>
  <c r="W69" i="36" s="1"/>
  <c r="W70" i="36" s="1" a="1"/>
  <c r="W70" i="36" s="1"/>
  <c r="U28" i="28"/>
  <c r="U27" i="28"/>
  <c r="U55" i="28"/>
  <c r="U68" i="28" s="1"/>
  <c r="U69" i="28" s="1"/>
  <c r="U70" i="28" s="1" a="1"/>
  <c r="U70" i="28" s="1"/>
  <c r="AJ27" i="33"/>
  <c r="AJ28" i="33"/>
  <c r="AJ55" i="33"/>
  <c r="AJ68" i="33" s="1"/>
  <c r="AJ69" i="33" s="1"/>
  <c r="AJ70" i="33" s="1" a="1"/>
  <c r="AJ70" i="33" s="1"/>
  <c r="W28" i="33"/>
  <c r="W27" i="33"/>
  <c r="W55" i="33"/>
  <c r="W68" i="33" s="1"/>
  <c r="W69" i="33" s="1"/>
  <c r="W70" i="33" s="1" a="1"/>
  <c r="W70" i="33" s="1"/>
  <c r="AI28" i="34"/>
  <c r="AI27" i="34"/>
  <c r="AI55" i="34"/>
  <c r="AI68" i="34" s="1"/>
  <c r="AI69" i="34" s="1"/>
  <c r="AI70" i="34" s="1" a="1"/>
  <c r="AI70" i="34" s="1"/>
  <c r="U28" i="37"/>
  <c r="U27" i="37"/>
  <c r="U55" i="37"/>
  <c r="U68" i="37" s="1"/>
  <c r="U69" i="37" s="1"/>
  <c r="U70" i="37" s="1" a="1"/>
  <c r="U70" i="37" s="1"/>
  <c r="I27" i="30"/>
  <c r="I28" i="30"/>
  <c r="I55" i="30"/>
  <c r="I68" i="30" s="1"/>
  <c r="I69" i="30" s="1"/>
  <c r="I70" i="30" s="1" a="1"/>
  <c r="I70" i="30" s="1"/>
  <c r="M31" i="40"/>
  <c r="M45" i="40"/>
  <c r="O28" i="29"/>
  <c r="O27" i="29"/>
  <c r="O55" i="29"/>
  <c r="O68" i="29" s="1"/>
  <c r="O69" i="29" s="1"/>
  <c r="O70" i="29" s="1" a="1"/>
  <c r="O70" i="29" s="1"/>
  <c r="AI27" i="16"/>
  <c r="AI28" i="16"/>
  <c r="AI55" i="16"/>
  <c r="AI68" i="16" s="1"/>
  <c r="AI69" i="16" s="1"/>
  <c r="AI70" i="16" s="1" a="1"/>
  <c r="AI70" i="16" s="1"/>
  <c r="Y28" i="38"/>
  <c r="Y27" i="38"/>
  <c r="Y55" i="38"/>
  <c r="Y68" i="38" s="1"/>
  <c r="Y69" i="38" s="1"/>
  <c r="Y70" i="38" s="1" a="1"/>
  <c r="Y70" i="38" s="1"/>
  <c r="P27" i="31"/>
  <c r="P28" i="31"/>
  <c r="P55" i="31"/>
  <c r="P68" i="31" s="1"/>
  <c r="S27" i="38"/>
  <c r="S28" i="38"/>
  <c r="S55" i="38"/>
  <c r="S68" i="38" s="1"/>
  <c r="S69" i="38" s="1"/>
  <c r="S70" i="38" s="1" a="1"/>
  <c r="S70" i="38" s="1"/>
  <c r="AG27" i="37"/>
  <c r="AG28" i="37"/>
  <c r="AG55" i="37"/>
  <c r="AG68" i="37" s="1"/>
  <c r="AG69" i="37" s="1"/>
  <c r="AG70" i="37" s="1" a="1"/>
  <c r="AG70" i="37" s="1"/>
  <c r="Z55" i="29"/>
  <c r="Z68" i="29" s="1"/>
  <c r="Z69" i="29" s="1"/>
  <c r="Z70" i="29" s="1" a="1"/>
  <c r="Z70" i="29" s="1"/>
  <c r="Z27" i="29"/>
  <c r="Z28" i="29"/>
  <c r="U52" i="35"/>
  <c r="U40" i="35" s="1"/>
  <c r="AM26" i="30"/>
  <c r="G15" i="40" s="1"/>
  <c r="K52" i="35"/>
  <c r="K40" i="35" s="1"/>
  <c r="AD52" i="38"/>
  <c r="U27" i="16"/>
  <c r="U28" i="16"/>
  <c r="U55" i="16"/>
  <c r="U68" i="16" s="1"/>
  <c r="U69" i="16" s="1"/>
  <c r="U70" i="16" s="1" a="1"/>
  <c r="U70" i="16" s="1"/>
  <c r="I27" i="37"/>
  <c r="I28" i="37"/>
  <c r="AM26" i="37"/>
  <c r="N15" i="40" s="1"/>
  <c r="I55" i="37"/>
  <c r="M27" i="37"/>
  <c r="M28" i="37"/>
  <c r="M55" i="37"/>
  <c r="M68" i="37" s="1"/>
  <c r="M69" i="37" s="1"/>
  <c r="M70" i="37" s="1" a="1"/>
  <c r="M70" i="37" s="1"/>
  <c r="X27" i="30"/>
  <c r="X28" i="30"/>
  <c r="X55" i="30"/>
  <c r="X68" i="30" s="1"/>
  <c r="X69" i="30" s="1"/>
  <c r="X70" i="30" s="1" a="1"/>
  <c r="X70" i="30" s="1"/>
  <c r="AA52" i="30"/>
  <c r="AA40" i="30" s="1"/>
  <c r="K28" i="29"/>
  <c r="K27" i="29"/>
  <c r="K55" i="29"/>
  <c r="K68" i="29" s="1"/>
  <c r="K69" i="29" s="1"/>
  <c r="K70" i="29" s="1" a="1"/>
  <c r="K70" i="29" s="1"/>
  <c r="AB27" i="16"/>
  <c r="AB28" i="16"/>
  <c r="AB55" i="16"/>
  <c r="AB68" i="16" s="1"/>
  <c r="AB69" i="16" s="1"/>
  <c r="AB70" i="16" s="1" a="1"/>
  <c r="AB70" i="16" s="1"/>
  <c r="AE27" i="37"/>
  <c r="AE28" i="37"/>
  <c r="AE55" i="37"/>
  <c r="AE68" i="37" s="1"/>
  <c r="AE69" i="37" s="1"/>
  <c r="AE70" i="37" s="1" a="1"/>
  <c r="AE70" i="37" s="1"/>
  <c r="W27" i="35"/>
  <c r="W28" i="35"/>
  <c r="W55" i="35"/>
  <c r="W68" i="35" s="1"/>
  <c r="W69" i="35" s="1"/>
  <c r="W70" i="35" s="1" a="1"/>
  <c r="W70" i="35" s="1"/>
  <c r="AF27" i="32"/>
  <c r="AF28" i="32"/>
  <c r="AF55" i="32"/>
  <c r="AF68" i="32" s="1"/>
  <c r="AF69" i="32" s="1"/>
  <c r="AF70" i="32" s="1" a="1"/>
  <c r="AF70" i="32" s="1"/>
  <c r="AE28" i="29"/>
  <c r="AE27" i="29"/>
  <c r="AE55" i="29"/>
  <c r="AE68" i="29" s="1"/>
  <c r="AE69" i="29" s="1"/>
  <c r="AE70" i="29" s="1" a="1"/>
  <c r="AE70" i="29" s="1"/>
  <c r="S27" i="31"/>
  <c r="S28" i="31"/>
  <c r="S55" i="31"/>
  <c r="S68" i="31" s="1"/>
  <c r="S69" i="31" s="1"/>
  <c r="S70" i="31" s="1" a="1"/>
  <c r="S70" i="31" s="1"/>
  <c r="T28" i="36"/>
  <c r="T27" i="36"/>
  <c r="T55" i="36"/>
  <c r="T68" i="36" s="1"/>
  <c r="T69" i="36" s="1"/>
  <c r="T70" i="36" s="1" a="1"/>
  <c r="T70" i="36" s="1"/>
  <c r="P30" i="40"/>
  <c r="J34" i="1" s="1"/>
  <c r="AK28" i="32"/>
  <c r="AK27" i="32"/>
  <c r="AK55" i="32"/>
  <c r="AK68" i="32" s="1"/>
  <c r="AK69" i="32" s="1"/>
  <c r="AK70" i="32" s="1" a="1"/>
  <c r="AK70" i="32" s="1"/>
  <c r="AH28" i="37"/>
  <c r="AH27" i="37"/>
  <c r="AH55" i="37"/>
  <c r="AH68" i="37" s="1"/>
  <c r="AH69" i="37" s="1"/>
  <c r="AH70" i="37" s="1" a="1"/>
  <c r="AH70" i="37" s="1"/>
  <c r="AF27" i="16"/>
  <c r="AF28" i="16"/>
  <c r="AF55" i="16"/>
  <c r="AF68" i="16" s="1"/>
  <c r="AF69" i="16" s="1"/>
  <c r="AF70" i="16" s="1" a="1"/>
  <c r="AF70" i="16" s="1"/>
  <c r="AB26" i="31"/>
  <c r="AB52" i="31" s="1"/>
  <c r="AB40" i="31" s="1"/>
  <c r="K27" i="33"/>
  <c r="K28" i="33"/>
  <c r="K55" i="33"/>
  <c r="K68" i="33" s="1"/>
  <c r="K69" i="33" s="1"/>
  <c r="K70" i="33" s="1" a="1"/>
  <c r="K70" i="33" s="1"/>
  <c r="AB27" i="34"/>
  <c r="AB28" i="34"/>
  <c r="AB55" i="34"/>
  <c r="AB68" i="34" s="1"/>
  <c r="AB69" i="34" s="1"/>
  <c r="AB70" i="34" s="1" a="1"/>
  <c r="AB70" i="34" s="1"/>
  <c r="H40" i="33"/>
  <c r="AJ27" i="32"/>
  <c r="AJ28" i="32"/>
  <c r="AJ55" i="32"/>
  <c r="AJ68" i="32" s="1"/>
  <c r="AJ69" i="32" s="1"/>
  <c r="AJ70" i="32" s="1" a="1"/>
  <c r="AJ70" i="32" s="1"/>
  <c r="AH52" i="37"/>
  <c r="AH40" i="37" s="1"/>
  <c r="O52" i="36"/>
  <c r="M52" i="30"/>
  <c r="M40" i="30" s="1"/>
  <c r="S28" i="28"/>
  <c r="S27" i="28"/>
  <c r="S55" i="28"/>
  <c r="S68" i="28" s="1"/>
  <c r="S69" i="28" s="1"/>
  <c r="S70" i="28" s="1" a="1"/>
  <c r="S70" i="28" s="1"/>
  <c r="Y51" i="16"/>
  <c r="Q28" i="35"/>
  <c r="Q27" i="35"/>
  <c r="Q55" i="35"/>
  <c r="Q68" i="35" s="1"/>
  <c r="Q69" i="35" s="1"/>
  <c r="Q70" i="35" s="1" a="1"/>
  <c r="Q70" i="35" s="1"/>
  <c r="O27" i="37"/>
  <c r="O28" i="37"/>
  <c r="O55" i="37"/>
  <c r="O68" i="37" s="1"/>
  <c r="O69" i="37" s="1"/>
  <c r="O70" i="37" s="1" a="1"/>
  <c r="O70" i="37" s="1"/>
  <c r="W28" i="16"/>
  <c r="W27" i="16"/>
  <c r="W55" i="16"/>
  <c r="W68" i="16" s="1"/>
  <c r="W69" i="16" s="1"/>
  <c r="W70" i="16" s="1" a="1"/>
  <c r="W70" i="16" s="1"/>
  <c r="AD28" i="29"/>
  <c r="AD27" i="29"/>
  <c r="AD55" i="29"/>
  <c r="AD68" i="29" s="1"/>
  <c r="AD69" i="29" s="1"/>
  <c r="AD70" i="29" s="1" a="1"/>
  <c r="AD70" i="29" s="1"/>
  <c r="AC27" i="30"/>
  <c r="AC28" i="30"/>
  <c r="AC55" i="30"/>
  <c r="AC68" i="30" s="1"/>
  <c r="AC69" i="30" s="1"/>
  <c r="AC70" i="30" s="1" a="1"/>
  <c r="AC70" i="30" s="1"/>
  <c r="AB27" i="36"/>
  <c r="AB28" i="36"/>
  <c r="AB55" i="36"/>
  <c r="AB68" i="36" s="1"/>
  <c r="AB69" i="36" s="1"/>
  <c r="AB70" i="36" s="1" a="1"/>
  <c r="AB70" i="36" s="1"/>
  <c r="AH27" i="16"/>
  <c r="AH28" i="16"/>
  <c r="AH55" i="16"/>
  <c r="AH68" i="16" s="1"/>
  <c r="AH69" i="16" s="1"/>
  <c r="AH70" i="16" s="1" a="1"/>
  <c r="AH70" i="16" s="1"/>
  <c r="W28" i="29"/>
  <c r="W27" i="29"/>
  <c r="W55" i="29"/>
  <c r="W68" i="29" s="1"/>
  <c r="W69" i="29" s="1"/>
  <c r="W70" i="29" s="1" a="1"/>
  <c r="W70" i="29" s="1"/>
  <c r="N27" i="38"/>
  <c r="N28" i="38"/>
  <c r="N55" i="38"/>
  <c r="N68" i="38" s="1"/>
  <c r="N69" i="38" s="1"/>
  <c r="N70" i="38" s="1" a="1"/>
  <c r="N70" i="38" s="1"/>
  <c r="AJ28" i="38"/>
  <c r="AJ27" i="38"/>
  <c r="AJ55" i="38"/>
  <c r="AJ68" i="38" s="1"/>
  <c r="AJ69" i="38" s="1"/>
  <c r="AJ70" i="38" s="1" a="1"/>
  <c r="AJ70" i="38" s="1"/>
  <c r="AM3" i="35"/>
  <c r="L6" i="40" s="1"/>
  <c r="H51" i="35"/>
  <c r="L28" i="29"/>
  <c r="L27" i="29"/>
  <c r="L55" i="29"/>
  <c r="L68" i="29" s="1"/>
  <c r="L69" i="29" s="1"/>
  <c r="L70" i="29" s="1" a="1"/>
  <c r="L70" i="29" s="1"/>
  <c r="J39" i="16"/>
  <c r="U28" i="36"/>
  <c r="U27" i="36"/>
  <c r="U55" i="36"/>
  <c r="U68" i="36" s="1"/>
  <c r="U69" i="36" s="1"/>
  <c r="U70" i="36" s="1" a="1"/>
  <c r="U70" i="36" s="1"/>
  <c r="Z28" i="38"/>
  <c r="Z27" i="38"/>
  <c r="Z55" i="38"/>
  <c r="Z68" i="38" s="1"/>
  <c r="Z69" i="38" s="1"/>
  <c r="Z70" i="38" s="1" a="1"/>
  <c r="Z70" i="38" s="1"/>
  <c r="Q27" i="16"/>
  <c r="Q28" i="16"/>
  <c r="Q55" i="16"/>
  <c r="Q68" i="16" s="1"/>
  <c r="Q69" i="16" s="1"/>
  <c r="Q70" i="16" s="1" a="1"/>
  <c r="Q70" i="16" s="1"/>
  <c r="AG27" i="28"/>
  <c r="AG28" i="28"/>
  <c r="AG55" i="28"/>
  <c r="AG68" i="28" s="1"/>
  <c r="AG69" i="28" s="1"/>
  <c r="AG70" i="28" s="1" a="1"/>
  <c r="AG70" i="28" s="1"/>
  <c r="H51" i="34"/>
  <c r="AM3" i="34"/>
  <c r="K6" i="40" s="1"/>
  <c r="U27" i="31"/>
  <c r="U28" i="31"/>
  <c r="U55" i="31"/>
  <c r="U68" i="31" s="1"/>
  <c r="U69" i="31" s="1"/>
  <c r="U70" i="31" s="1" a="1"/>
  <c r="U70" i="31" s="1"/>
  <c r="AB52" i="36"/>
  <c r="AE27" i="32"/>
  <c r="AE28" i="32"/>
  <c r="AE55" i="32"/>
  <c r="AE68" i="32" s="1"/>
  <c r="AE69" i="32" s="1"/>
  <c r="AE70" i="32" s="1" a="1"/>
  <c r="AE70" i="32" s="1"/>
  <c r="L31" i="40"/>
  <c r="L45" i="40"/>
  <c r="N28" i="33"/>
  <c r="N27" i="33"/>
  <c r="N55" i="33"/>
  <c r="N68" i="33" s="1"/>
  <c r="N69" i="33" s="1"/>
  <c r="N70" i="33" s="1" a="1"/>
  <c r="N70" i="33" s="1"/>
  <c r="AJ27" i="35"/>
  <c r="AJ28" i="35"/>
  <c r="AJ55" i="35"/>
  <c r="AJ68" i="35" s="1"/>
  <c r="AJ69" i="35" s="1"/>
  <c r="AJ70" i="35" s="1" a="1"/>
  <c r="AJ70" i="35" s="1"/>
  <c r="W52" i="33"/>
  <c r="L52" i="36"/>
  <c r="L40" i="36" s="1"/>
  <c r="AA52" i="28"/>
  <c r="AA40" i="28" s="1"/>
  <c r="I31" i="40"/>
  <c r="I45" i="40"/>
  <c r="R28" i="37"/>
  <c r="R27" i="37"/>
  <c r="R55" i="37"/>
  <c r="R68" i="37" s="1"/>
  <c r="R69" i="37" s="1"/>
  <c r="R70" i="37" s="1" a="1"/>
  <c r="R70" i="37" s="1"/>
  <c r="T52" i="37"/>
  <c r="T40" i="37" s="1"/>
  <c r="T28" i="16"/>
  <c r="T27" i="16"/>
  <c r="T55" i="16"/>
  <c r="T68" i="16" s="1"/>
  <c r="T69" i="16" s="1"/>
  <c r="T70" i="16" s="1" a="1"/>
  <c r="T70" i="16" s="1"/>
  <c r="AF52" i="34"/>
  <c r="AF28" i="34"/>
  <c r="AF27" i="34"/>
  <c r="AF55" i="34"/>
  <c r="AF68" i="34" s="1"/>
  <c r="AF69" i="34" s="1"/>
  <c r="AF70" i="34" s="1" a="1"/>
  <c r="AF70" i="34" s="1"/>
  <c r="H27" i="36"/>
  <c r="H28" i="36"/>
  <c r="AM26" i="36"/>
  <c r="M15" i="40" s="1"/>
  <c r="H55" i="36"/>
  <c r="L27" i="30"/>
  <c r="L28" i="30"/>
  <c r="L55" i="30"/>
  <c r="L68" i="30" s="1"/>
  <c r="L69" i="30" s="1"/>
  <c r="L70" i="30" s="1" a="1"/>
  <c r="L70" i="30" s="1"/>
  <c r="Q52" i="32"/>
  <c r="Q40" i="32" s="1"/>
  <c r="H27" i="31"/>
  <c r="H28" i="31"/>
  <c r="H55" i="31"/>
  <c r="S52" i="37"/>
  <c r="S40" i="37" s="1"/>
  <c r="Y52" i="35"/>
  <c r="Y40" i="35" s="1"/>
  <c r="AE27" i="38"/>
  <c r="AE28" i="38"/>
  <c r="AE55" i="38"/>
  <c r="AE68" i="38" s="1"/>
  <c r="AE69" i="38" s="1"/>
  <c r="AE70" i="38" s="1" a="1"/>
  <c r="AE70" i="38" s="1"/>
  <c r="K27" i="32"/>
  <c r="K28" i="32"/>
  <c r="K55" i="32"/>
  <c r="K68" i="32" s="1"/>
  <c r="K69" i="32" s="1"/>
  <c r="K70" i="32" s="1" a="1"/>
  <c r="K70" i="32" s="1"/>
  <c r="N27" i="16"/>
  <c r="N28" i="16"/>
  <c r="N55" i="16"/>
  <c r="N68" i="16" s="1"/>
  <c r="N69" i="16" s="1"/>
  <c r="N70" i="16" s="1" a="1"/>
  <c r="N70" i="16" s="1"/>
  <c r="J27" i="30"/>
  <c r="J28" i="30"/>
  <c r="J55" i="30"/>
  <c r="J68" i="30" s="1"/>
  <c r="J69" i="30" s="1"/>
  <c r="J70" i="30" s="1" a="1"/>
  <c r="J70" i="30" s="1"/>
  <c r="AC27" i="33"/>
  <c r="AC28" i="33"/>
  <c r="AC55" i="33"/>
  <c r="AC68" i="33" s="1"/>
  <c r="AC69" i="33" s="1"/>
  <c r="AC70" i="33" s="1" a="1"/>
  <c r="AC70" i="33" s="1"/>
  <c r="AL53" i="29"/>
  <c r="AL66" i="29" s="1"/>
  <c r="AF27" i="29"/>
  <c r="AF28" i="29"/>
  <c r="AF55" i="29"/>
  <c r="AF68" i="29" s="1"/>
  <c r="AF69" i="29" s="1"/>
  <c r="AF70" i="29" s="1" a="1"/>
  <c r="AF70" i="29" s="1"/>
  <c r="P27" i="29"/>
  <c r="P28" i="29"/>
  <c r="P55" i="29"/>
  <c r="P68" i="29" s="1"/>
  <c r="P69" i="29" s="1"/>
  <c r="P70" i="29" s="1" a="1"/>
  <c r="P70" i="29" s="1"/>
  <c r="X27" i="38"/>
  <c r="X28" i="38"/>
  <c r="X55" i="38"/>
  <c r="X68" i="38" s="1"/>
  <c r="X69" i="38" s="1"/>
  <c r="X70" i="38" s="1" a="1"/>
  <c r="X70" i="38" s="1"/>
  <c r="L55" i="31"/>
  <c r="L68" i="31" s="1"/>
  <c r="L69" i="31" s="1"/>
  <c r="L70" i="31" s="1" a="1"/>
  <c r="L70" i="31" s="1"/>
  <c r="L27" i="31"/>
  <c r="L28" i="31"/>
  <c r="AI28" i="36"/>
  <c r="AI27" i="36"/>
  <c r="AI55" i="36"/>
  <c r="AI68" i="36" s="1"/>
  <c r="AI69" i="36" s="1"/>
  <c r="AI70" i="36" s="1" a="1"/>
  <c r="AI70" i="36" s="1"/>
  <c r="K45" i="40"/>
  <c r="K31" i="40"/>
  <c r="AB27" i="38"/>
  <c r="AB28" i="38"/>
  <c r="AB55" i="38"/>
  <c r="AB68" i="38" s="1"/>
  <c r="AB69" i="38" s="1"/>
  <c r="AB70" i="38" s="1" a="1"/>
  <c r="AB70" i="38" s="1"/>
  <c r="AC52" i="30"/>
  <c r="AC40" i="30" s="1"/>
  <c r="N31" i="40"/>
  <c r="N45" i="40"/>
  <c r="P32" i="40"/>
  <c r="Y27" i="37"/>
  <c r="Y28" i="37"/>
  <c r="Y55" i="37"/>
  <c r="Y68" i="37" s="1"/>
  <c r="Y69" i="37" s="1"/>
  <c r="Y70" i="37" s="1" a="1"/>
  <c r="Y70" i="37" s="1"/>
  <c r="W28" i="37"/>
  <c r="W27" i="37"/>
  <c r="W55" i="37"/>
  <c r="W68" i="37" s="1"/>
  <c r="W69" i="37" s="1"/>
  <c r="W70" i="37" s="1" a="1"/>
  <c r="W70" i="37" s="1"/>
  <c r="W28" i="34"/>
  <c r="W27" i="34"/>
  <c r="W55" i="34"/>
  <c r="W68" i="34" s="1"/>
  <c r="W69" i="34" s="1"/>
  <c r="W70" i="34" s="1" a="1"/>
  <c r="W70" i="34" s="1"/>
  <c r="X27" i="29"/>
  <c r="X28" i="29"/>
  <c r="X55" i="29"/>
  <c r="X68" i="29" s="1"/>
  <c r="X69" i="29" s="1"/>
  <c r="X70" i="29" s="1" a="1"/>
  <c r="X70" i="29" s="1"/>
  <c r="L52" i="37"/>
  <c r="L40" i="37" s="1"/>
  <c r="AB28" i="37"/>
  <c r="AB27" i="37"/>
  <c r="AB55" i="37"/>
  <c r="AB68" i="37" s="1"/>
  <c r="AB69" i="37" s="1"/>
  <c r="AB70" i="37" s="1" a="1"/>
  <c r="AB70" i="37" s="1"/>
  <c r="R27" i="35"/>
  <c r="R28" i="35"/>
  <c r="R55" i="35"/>
  <c r="R68" i="35" s="1"/>
  <c r="R69" i="35" s="1"/>
  <c r="R70" i="35" s="1" a="1"/>
  <c r="R70" i="35" s="1"/>
  <c r="T27" i="38"/>
  <c r="T28" i="38"/>
  <c r="T55" i="38"/>
  <c r="T68" i="38" s="1"/>
  <c r="T69" i="38" s="1"/>
  <c r="T70" i="38" s="1" a="1"/>
  <c r="T70" i="38" s="1"/>
  <c r="Q27" i="38"/>
  <c r="Q28" i="38"/>
  <c r="Q55" i="38"/>
  <c r="Q68" i="38" s="1"/>
  <c r="Q69" i="38" s="1"/>
  <c r="Q70" i="38" s="1" a="1"/>
  <c r="Q70" i="38" s="1"/>
  <c r="U28" i="33"/>
  <c r="U27" i="33"/>
  <c r="U55" i="33"/>
  <c r="U68" i="33" s="1"/>
  <c r="U69" i="33" s="1"/>
  <c r="U70" i="33" s="1" a="1"/>
  <c r="U70" i="33" s="1"/>
  <c r="I27" i="31"/>
  <c r="I28" i="31"/>
  <c r="I55" i="31"/>
  <c r="I68" i="31" s="1"/>
  <c r="I69" i="31" s="1"/>
  <c r="I70" i="31" s="1" a="1"/>
  <c r="I70" i="31" s="1"/>
  <c r="T52" i="31"/>
  <c r="T40" i="31" s="1"/>
  <c r="AE27" i="33"/>
  <c r="AE28" i="33"/>
  <c r="AE55" i="33"/>
  <c r="AE68" i="33" s="1"/>
  <c r="AE69" i="33" s="1"/>
  <c r="AE70" i="33" s="1" a="1"/>
  <c r="AE70" i="33" s="1"/>
  <c r="V27" i="16"/>
  <c r="V28" i="16"/>
  <c r="V55" i="16"/>
  <c r="V68" i="16" s="1"/>
  <c r="V69" i="16" s="1"/>
  <c r="V70" i="16" s="1" a="1"/>
  <c r="V70" i="16" s="1"/>
  <c r="J74" i="16"/>
  <c r="U52" i="33"/>
  <c r="U40" i="33" s="1"/>
  <c r="M52" i="29"/>
  <c r="M40" i="29" s="1"/>
  <c r="J27" i="29"/>
  <c r="J28" i="29"/>
  <c r="J55" i="29"/>
  <c r="J68" i="29" s="1"/>
  <c r="J69" i="29" s="1"/>
  <c r="J70" i="29" s="1" a="1"/>
  <c r="J70" i="29" s="1"/>
  <c r="H28" i="33"/>
  <c r="H27" i="33"/>
  <c r="AM26" i="33"/>
  <c r="J15" i="40" s="1"/>
  <c r="H55" i="33"/>
  <c r="Z27" i="32"/>
  <c r="Z28" i="32"/>
  <c r="Z55" i="32"/>
  <c r="Z68" i="32" s="1"/>
  <c r="Z69" i="32" s="1"/>
  <c r="Z70" i="32" s="1" a="1"/>
  <c r="Z70" i="32" s="1"/>
  <c r="AC27" i="38"/>
  <c r="AC28" i="38"/>
  <c r="AC55" i="38"/>
  <c r="AC68" i="38" s="1"/>
  <c r="AC69" i="38" s="1"/>
  <c r="AC70" i="38" s="1" a="1"/>
  <c r="AC70" i="38" s="1"/>
  <c r="W52" i="30"/>
  <c r="W40" i="30" s="1"/>
  <c r="AG52" i="34"/>
  <c r="AG40" i="34" s="1"/>
  <c r="Q28" i="33"/>
  <c r="Q27" i="33"/>
  <c r="Q55" i="33"/>
  <c r="Q68" i="33" s="1"/>
  <c r="Q69" i="33" s="1"/>
  <c r="Q70" i="33" s="1" a="1"/>
  <c r="Q70" i="33" s="1"/>
  <c r="L27" i="34"/>
  <c r="L28" i="34"/>
  <c r="L55" i="34"/>
  <c r="L68" i="34" s="1"/>
  <c r="L69" i="34" s="1"/>
  <c r="L70" i="34" s="1" a="1"/>
  <c r="L70" i="34" s="1"/>
  <c r="Y28" i="36"/>
  <c r="Y27" i="36"/>
  <c r="Y55" i="36"/>
  <c r="Y68" i="36" s="1"/>
  <c r="Y69" i="36" s="1"/>
  <c r="Y70" i="36" s="1" a="1"/>
  <c r="Y70" i="36" s="1"/>
  <c r="J27" i="33"/>
  <c r="J28" i="33"/>
  <c r="J55" i="33"/>
  <c r="J68" i="33" s="1"/>
  <c r="J69" i="33" s="1"/>
  <c r="J70" i="33" s="1" a="1"/>
  <c r="J70" i="33" s="1"/>
  <c r="S51" i="34"/>
  <c r="S27" i="34"/>
  <c r="S28" i="34"/>
  <c r="S55" i="34"/>
  <c r="S68" i="34" s="1"/>
  <c r="S69" i="34" s="1"/>
  <c r="S70" i="34" s="1" a="1"/>
  <c r="S70" i="34" s="1"/>
  <c r="P27" i="38"/>
  <c r="P28" i="38"/>
  <c r="P55" i="38"/>
  <c r="P68" i="38" s="1"/>
  <c r="P69" i="38" s="1"/>
  <c r="P70" i="38" s="1" a="1"/>
  <c r="P70" i="38" s="1"/>
  <c r="P27" i="37"/>
  <c r="P28" i="37"/>
  <c r="P55" i="37"/>
  <c r="P68" i="37" s="1"/>
  <c r="P69" i="37" s="1"/>
  <c r="P70" i="37" s="1" a="1"/>
  <c r="P70" i="37" s="1"/>
  <c r="R28" i="28"/>
  <c r="R27" i="28"/>
  <c r="R55" i="28"/>
  <c r="R68" i="28" s="1"/>
  <c r="R69" i="28" s="1"/>
  <c r="R70" i="28" s="1" a="1"/>
  <c r="R70" i="28" s="1"/>
  <c r="P52" i="37"/>
  <c r="P40" i="37" s="1"/>
  <c r="AC27" i="31"/>
  <c r="AC28" i="31"/>
  <c r="AC55" i="31"/>
  <c r="AC68" i="31" s="1"/>
  <c r="AC69" i="31" s="1"/>
  <c r="AC70" i="31" s="1" a="1"/>
  <c r="AC70" i="31" s="1"/>
  <c r="V52" i="38"/>
  <c r="U28" i="29"/>
  <c r="U27" i="29"/>
  <c r="U55" i="29"/>
  <c r="U68" i="29" s="1"/>
  <c r="U69" i="29" s="1"/>
  <c r="U70" i="29" s="1" a="1"/>
  <c r="U70" i="29" s="1"/>
  <c r="V27" i="29"/>
  <c r="V28" i="29"/>
  <c r="V55" i="29"/>
  <c r="V68" i="29" s="1"/>
  <c r="V69" i="29" s="1"/>
  <c r="V70" i="29" s="1" a="1"/>
  <c r="V70" i="29" s="1"/>
  <c r="Z27" i="28"/>
  <c r="Z28" i="28"/>
  <c r="Z55" i="28"/>
  <c r="Z68" i="28" s="1"/>
  <c r="Z69" i="28" s="1"/>
  <c r="Z70" i="28" s="1" a="1"/>
  <c r="Z70" i="28" s="1"/>
  <c r="AJ52" i="30"/>
  <c r="AJ40" i="30" s="1"/>
  <c r="Q27" i="29"/>
  <c r="Q28" i="29"/>
  <c r="Q55" i="29"/>
  <c r="Q68" i="29" s="1"/>
  <c r="Q69" i="29" s="1"/>
  <c r="Q70" i="29" s="1" a="1"/>
  <c r="Q70" i="29" s="1"/>
  <c r="Y27" i="34"/>
  <c r="Y28" i="34"/>
  <c r="Y55" i="34"/>
  <c r="Y68" i="34" s="1"/>
  <c r="Y69" i="34" s="1"/>
  <c r="Y70" i="34" s="1" a="1"/>
  <c r="Y70" i="34" s="1"/>
  <c r="O27" i="16"/>
  <c r="O28" i="16"/>
  <c r="O55" i="16"/>
  <c r="O68" i="16" s="1"/>
  <c r="O69" i="16" s="1"/>
  <c r="O70" i="16" s="1" a="1"/>
  <c r="O70" i="16" s="1"/>
  <c r="I27" i="33"/>
  <c r="I28" i="33"/>
  <c r="I55" i="33"/>
  <c r="I68" i="33" s="1"/>
  <c r="I69" i="33" s="1"/>
  <c r="I70" i="33" s="1" a="1"/>
  <c r="I70" i="33" s="1"/>
  <c r="Q72" i="30"/>
  <c r="Q41" i="30"/>
  <c r="AI27" i="28"/>
  <c r="AI28" i="28"/>
  <c r="AI55" i="28"/>
  <c r="AI68" i="28" s="1"/>
  <c r="AI69" i="28" s="1"/>
  <c r="AI70" i="28" s="1" a="1"/>
  <c r="AI70" i="28" s="1"/>
  <c r="AB55" i="35"/>
  <c r="AB68" i="35" s="1"/>
  <c r="AB69" i="35" s="1"/>
  <c r="AB70" i="35" s="1" a="1"/>
  <c r="AB70" i="35" s="1"/>
  <c r="AB27" i="35"/>
  <c r="AB28" i="35"/>
  <c r="H28" i="35"/>
  <c r="H27" i="35"/>
  <c r="AM26" i="35"/>
  <c r="L15" i="40" s="1"/>
  <c r="H55" i="35"/>
  <c r="AJ27" i="16"/>
  <c r="AJ28" i="16"/>
  <c r="AJ55" i="16"/>
  <c r="AJ68" i="16" s="1"/>
  <c r="AJ69" i="16" s="1"/>
  <c r="AJ70" i="16" s="1" a="1"/>
  <c r="AJ70" i="16" s="1"/>
  <c r="O28" i="30"/>
  <c r="O27" i="30"/>
  <c r="O55" i="30"/>
  <c r="O68" i="30" s="1"/>
  <c r="O69" i="30" s="1"/>
  <c r="O70" i="30" s="1" a="1"/>
  <c r="O70" i="30" s="1"/>
  <c r="AM3" i="38"/>
  <c r="O6" i="40" s="1"/>
  <c r="H51" i="38"/>
  <c r="AH27" i="30"/>
  <c r="AH28" i="30"/>
  <c r="AH55" i="30"/>
  <c r="AH68" i="30" s="1"/>
  <c r="AH69" i="30" s="1"/>
  <c r="AH70" i="30" s="1" a="1"/>
  <c r="AH70" i="30" s="1"/>
  <c r="R27" i="32"/>
  <c r="R28" i="32"/>
  <c r="R55" i="32"/>
  <c r="R68" i="32" s="1"/>
  <c r="R69" i="32" s="1"/>
  <c r="R70" i="32" s="1" a="1"/>
  <c r="R70" i="32" s="1"/>
  <c r="AI28" i="38"/>
  <c r="AI27" i="38"/>
  <c r="AI55" i="38"/>
  <c r="AI68" i="38" s="1"/>
  <c r="AI69" i="38" s="1"/>
  <c r="AI70" i="38" s="1" a="1"/>
  <c r="AI70" i="38" s="1"/>
  <c r="Y27" i="16"/>
  <c r="Y28" i="16"/>
  <c r="Y55" i="16"/>
  <c r="Y68" i="16" s="1"/>
  <c r="Y69" i="16" s="1"/>
  <c r="Y70" i="16" s="1" a="1"/>
  <c r="Y70" i="16" s="1"/>
  <c r="H52" i="32"/>
  <c r="H27" i="32"/>
  <c r="H28" i="32"/>
  <c r="AM26" i="32"/>
  <c r="I15" i="40" s="1"/>
  <c r="H55" i="32"/>
  <c r="AD52" i="33"/>
  <c r="AD40" i="33" s="1"/>
  <c r="H52" i="38"/>
  <c r="AM26" i="38"/>
  <c r="O15" i="40" s="1"/>
  <c r="H27" i="38"/>
  <c r="H28" i="38"/>
  <c r="H55" i="38"/>
  <c r="K27" i="28"/>
  <c r="K28" i="28"/>
  <c r="K55" i="28"/>
  <c r="K68" i="28" s="1"/>
  <c r="K69" i="28" s="1"/>
  <c r="K70" i="28" s="1" a="1"/>
  <c r="K70" i="28" s="1"/>
  <c r="AI27" i="30"/>
  <c r="AI28" i="30"/>
  <c r="AI55" i="30"/>
  <c r="AI68" i="30" s="1"/>
  <c r="AI69" i="30" s="1"/>
  <c r="AI70" i="30" s="1" a="1"/>
  <c r="AI70" i="30" s="1"/>
  <c r="X27" i="16"/>
  <c r="X28" i="16"/>
  <c r="X55" i="16"/>
  <c r="X68" i="16" s="1"/>
  <c r="X69" i="16" s="1"/>
  <c r="X70" i="16" s="1" a="1"/>
  <c r="X70" i="16" s="1"/>
  <c r="M27" i="32"/>
  <c r="M28" i="32"/>
  <c r="M55" i="32"/>
  <c r="M68" i="32" s="1"/>
  <c r="M69" i="32" s="1"/>
  <c r="M70" i="32" s="1" a="1"/>
  <c r="M70" i="32" s="1"/>
  <c r="I27" i="35"/>
  <c r="I28" i="35"/>
  <c r="I55" i="35"/>
  <c r="I68" i="35" s="1"/>
  <c r="I69" i="35" s="1"/>
  <c r="I70" i="35" s="1" a="1"/>
  <c r="I70" i="35" s="1"/>
  <c r="AF27" i="38"/>
  <c r="AF28" i="38"/>
  <c r="AF55" i="38"/>
  <c r="AF68" i="38" s="1"/>
  <c r="AF69" i="38" s="1"/>
  <c r="AF70" i="38" s="1" a="1"/>
  <c r="AF70" i="38" s="1"/>
  <c r="I51" i="37"/>
  <c r="AM3" i="37"/>
  <c r="N6" i="40" s="1"/>
  <c r="AJ27" i="37"/>
  <c r="AJ28" i="37"/>
  <c r="AJ55" i="37"/>
  <c r="AJ68" i="37" s="1"/>
  <c r="AJ69" i="37" s="1"/>
  <c r="AJ70" i="37" s="1" a="1"/>
  <c r="AJ70" i="37" s="1"/>
  <c r="M28" i="36"/>
  <c r="M27" i="36"/>
  <c r="M55" i="36"/>
  <c r="M68" i="36" s="1"/>
  <c r="M69" i="36" s="1"/>
  <c r="M70" i="36" s="1" a="1"/>
  <c r="M70" i="36" s="1"/>
  <c r="AF27" i="28"/>
  <c r="AF28" i="28"/>
  <c r="AF55" i="28"/>
  <c r="AF68" i="28" s="1"/>
  <c r="AF69" i="28" s="1"/>
  <c r="AF70" i="28" s="1" a="1"/>
  <c r="AF70" i="28" s="1"/>
  <c r="AB52" i="33"/>
  <c r="AB28" i="33"/>
  <c r="AB27" i="33"/>
  <c r="AB55" i="33"/>
  <c r="AB68" i="33" s="1"/>
  <c r="AB69" i="33" s="1"/>
  <c r="AB70" i="33" s="1" a="1"/>
  <c r="AB70" i="33" s="1"/>
  <c r="M55" i="33"/>
  <c r="M68" i="33" s="1"/>
  <c r="M69" i="33" s="1"/>
  <c r="M70" i="33" s="1" a="1"/>
  <c r="M70" i="33" s="1"/>
  <c r="M28" i="33"/>
  <c r="M27" i="33"/>
  <c r="H28" i="34"/>
  <c r="H27" i="34"/>
  <c r="AM26" i="34"/>
  <c r="K15" i="40" s="1"/>
  <c r="H55" i="34"/>
  <c r="N27" i="35"/>
  <c r="N28" i="35"/>
  <c r="N55" i="35"/>
  <c r="N68" i="35" s="1"/>
  <c r="N69" i="35" s="1"/>
  <c r="N70" i="35" s="1" a="1"/>
  <c r="N70" i="35" s="1"/>
  <c r="AK28" i="35"/>
  <c r="AK27" i="35"/>
  <c r="AK55" i="35"/>
  <c r="AK68" i="35" s="1"/>
  <c r="AK69" i="35" s="1"/>
  <c r="AK70" i="35" s="1" a="1"/>
  <c r="AK70" i="35" s="1"/>
  <c r="AA27" i="32"/>
  <c r="AA28" i="32"/>
  <c r="AA55" i="32"/>
  <c r="AA68" i="32" s="1"/>
  <c r="AA69" i="32" s="1"/>
  <c r="AA70" i="32" s="1" a="1"/>
  <c r="AA70" i="32" s="1"/>
  <c r="I52" i="32"/>
  <c r="AI27" i="29"/>
  <c r="AI28" i="29"/>
  <c r="AI55" i="29"/>
  <c r="AI68" i="29" s="1"/>
  <c r="AI69" i="29" s="1"/>
  <c r="AI70" i="29" s="1" a="1"/>
  <c r="AI70" i="29" s="1"/>
  <c r="R52" i="28"/>
  <c r="R40" i="28" s="1"/>
  <c r="U52" i="30"/>
  <c r="U27" i="30"/>
  <c r="U28" i="30"/>
  <c r="U55" i="30"/>
  <c r="U68" i="30" s="1"/>
  <c r="U69" i="30" s="1"/>
  <c r="U70" i="30" s="1" a="1"/>
  <c r="U70" i="30" s="1"/>
  <c r="AI27" i="32"/>
  <c r="AI28" i="32"/>
  <c r="AI55" i="32"/>
  <c r="AI68" i="32" s="1"/>
  <c r="AI69" i="32" s="1"/>
  <c r="AI70" i="32" s="1" a="1"/>
  <c r="AI70" i="32" s="1"/>
  <c r="AD28" i="37"/>
  <c r="AD27" i="37"/>
  <c r="AD55" i="37"/>
  <c r="AD68" i="37" s="1"/>
  <c r="AD69" i="37" s="1"/>
  <c r="AD70" i="37" s="1" a="1"/>
  <c r="AD70" i="37" s="1"/>
  <c r="X27" i="35"/>
  <c r="X28" i="35"/>
  <c r="X55" i="35"/>
  <c r="X68" i="35" s="1"/>
  <c r="X69" i="35" s="1"/>
  <c r="X70" i="35" s="1" a="1"/>
  <c r="X70" i="35" s="1"/>
  <c r="J27" i="34"/>
  <c r="J28" i="34"/>
  <c r="J55" i="34"/>
  <c r="J68" i="34" s="1"/>
  <c r="J69" i="34" s="1"/>
  <c r="J70" i="34" s="1" a="1"/>
  <c r="J70" i="34" s="1"/>
  <c r="AG27" i="32"/>
  <c r="AG28" i="32"/>
  <c r="AG55" i="32"/>
  <c r="AG68" i="32" s="1"/>
  <c r="AG69" i="32" s="1"/>
  <c r="AG70" i="32" s="1" a="1"/>
  <c r="AG70" i="32" s="1"/>
  <c r="V28" i="31"/>
  <c r="V27" i="31"/>
  <c r="V55" i="31"/>
  <c r="V68" i="31" s="1"/>
  <c r="V69" i="31" s="1"/>
  <c r="V70" i="31" s="1" a="1"/>
  <c r="V70" i="31" s="1"/>
  <c r="J27" i="32"/>
  <c r="J28" i="32"/>
  <c r="J55" i="32"/>
  <c r="J68" i="32" s="1"/>
  <c r="J69" i="32" s="1"/>
  <c r="J70" i="32" s="1" a="1"/>
  <c r="J70" i="32" s="1"/>
  <c r="AC52" i="36"/>
  <c r="AF52" i="37"/>
  <c r="AF40" i="37" s="1"/>
  <c r="U52" i="16"/>
  <c r="U40" i="16" s="1"/>
  <c r="K27" i="37"/>
  <c r="K28" i="37"/>
  <c r="K55" i="37"/>
  <c r="K68" i="37" s="1"/>
  <c r="K69" i="37" s="1"/>
  <c r="K70" i="37" s="1" a="1"/>
  <c r="K70" i="37" s="1"/>
  <c r="AE52" i="29"/>
  <c r="AE40" i="29" s="1"/>
  <c r="S52" i="29"/>
  <c r="S40" i="29" s="1"/>
  <c r="M27" i="31"/>
  <c r="M28" i="31"/>
  <c r="M55" i="31"/>
  <c r="M68" i="31" s="1"/>
  <c r="M69" i="31" s="1"/>
  <c r="M70" i="31" s="1" a="1"/>
  <c r="M70" i="31" s="1"/>
  <c r="H51" i="31"/>
  <c r="J31" i="40"/>
  <c r="J45" i="40"/>
  <c r="U51" i="29"/>
  <c r="AG27" i="16"/>
  <c r="AG28" i="16"/>
  <c r="AG55" i="16"/>
  <c r="AG68" i="16" s="1"/>
  <c r="AG69" i="16" s="1"/>
  <c r="AG70" i="16" s="1" a="1"/>
  <c r="AG70" i="16" s="1"/>
  <c r="AD27" i="35"/>
  <c r="AD28" i="35"/>
  <c r="AD55" i="35"/>
  <c r="AD68" i="35" s="1"/>
  <c r="AD69" i="35" s="1"/>
  <c r="AD70" i="35" s="1" a="1"/>
  <c r="AD70" i="35" s="1"/>
  <c r="X27" i="32"/>
  <c r="X28" i="32"/>
  <c r="X55" i="32"/>
  <c r="X68" i="32" s="1"/>
  <c r="X69" i="32" s="1"/>
  <c r="X70" i="32" s="1" a="1"/>
  <c r="X70" i="32" s="1"/>
  <c r="Q27" i="36"/>
  <c r="Q28" i="36"/>
  <c r="Q55" i="36"/>
  <c r="Q68" i="36" s="1"/>
  <c r="Q69" i="36" s="1"/>
  <c r="Q70" i="36" s="1" a="1"/>
  <c r="Q70" i="36" s="1"/>
  <c r="AM3" i="28"/>
  <c r="E6" i="40" s="1"/>
  <c r="N28" i="28"/>
  <c r="N27" i="28"/>
  <c r="N55" i="28"/>
  <c r="N68" i="28" s="1"/>
  <c r="N69" i="28" s="1"/>
  <c r="N70" i="28" s="1" a="1"/>
  <c r="N70" i="28" s="1"/>
  <c r="AI28" i="37"/>
  <c r="AI27" i="37"/>
  <c r="AI55" i="37"/>
  <c r="AI68" i="37" s="1"/>
  <c r="AI69" i="37" s="1"/>
  <c r="AI70" i="37" s="1" a="1"/>
  <c r="AI70" i="37" s="1"/>
  <c r="Y27" i="32"/>
  <c r="Y28" i="32"/>
  <c r="Y55" i="32"/>
  <c r="Y68" i="32" s="1"/>
  <c r="Y69" i="32" s="1"/>
  <c r="Y70" i="32" s="1" a="1"/>
  <c r="Y70" i="32" s="1"/>
  <c r="W51" i="38"/>
  <c r="W27" i="38"/>
  <c r="W28" i="38"/>
  <c r="W55" i="38"/>
  <c r="W68" i="38" s="1"/>
  <c r="W69" i="38" s="1"/>
  <c r="W70" i="38" s="1" a="1"/>
  <c r="W70" i="38" s="1"/>
  <c r="AE27" i="16"/>
  <c r="AE28" i="16"/>
  <c r="AE55" i="16"/>
  <c r="AE68" i="16" s="1"/>
  <c r="AE69" i="16" s="1"/>
  <c r="AE70" i="16" s="1" a="1"/>
  <c r="AE70" i="16" s="1"/>
  <c r="Y27" i="30"/>
  <c r="Y28" i="30"/>
  <c r="Y55" i="30"/>
  <c r="Y68" i="30" s="1"/>
  <c r="Y69" i="30" s="1"/>
  <c r="Y70" i="30" s="1" a="1"/>
  <c r="Y70" i="30" s="1"/>
  <c r="AE27" i="28"/>
  <c r="AE28" i="28"/>
  <c r="AE55" i="28"/>
  <c r="AE68" i="28" s="1"/>
  <c r="AE69" i="28" s="1"/>
  <c r="AE70" i="28" s="1" a="1"/>
  <c r="AE70" i="28" s="1"/>
  <c r="AG27" i="29"/>
  <c r="AG28" i="29"/>
  <c r="AG55" i="29"/>
  <c r="AG68" i="29" s="1"/>
  <c r="AG69" i="29" s="1"/>
  <c r="AG70" i="29" s="1" a="1"/>
  <c r="AG70" i="29" s="1"/>
  <c r="AA28" i="38"/>
  <c r="AA27" i="38"/>
  <c r="AA55" i="38"/>
  <c r="AA68" i="38" s="1"/>
  <c r="AA69" i="38" s="1"/>
  <c r="AA70" i="38" s="1" a="1"/>
  <c r="AA70" i="38" s="1"/>
  <c r="AG27" i="31"/>
  <c r="AG28" i="31"/>
  <c r="AG55" i="31"/>
  <c r="AG68" i="31" s="1"/>
  <c r="AG69" i="31" s="1"/>
  <c r="AG70" i="31" s="1" a="1"/>
  <c r="AG70" i="31" s="1"/>
  <c r="Q28" i="34"/>
  <c r="Q27" i="34"/>
  <c r="Q55" i="34"/>
  <c r="Q68" i="34" s="1"/>
  <c r="Q69" i="34" s="1"/>
  <c r="Q70" i="34" s="1" a="1"/>
  <c r="Q70" i="34" s="1"/>
  <c r="AC27" i="35"/>
  <c r="AC28" i="35"/>
  <c r="AC55" i="35"/>
  <c r="AC68" i="35" s="1"/>
  <c r="AC69" i="35" s="1"/>
  <c r="AC70" i="35" s="1" a="1"/>
  <c r="AC70" i="35" s="1"/>
  <c r="L52" i="34"/>
  <c r="L40" i="34" s="1"/>
  <c r="AK52" i="34"/>
  <c r="AK27" i="34"/>
  <c r="AK28" i="34"/>
  <c r="AK55" i="34"/>
  <c r="AK68" i="34" s="1"/>
  <c r="AK69" i="34" s="1"/>
  <c r="AK70" i="34" s="1" a="1"/>
  <c r="AK70" i="34" s="1"/>
  <c r="R28" i="34"/>
  <c r="R27" i="34"/>
  <c r="R55" i="34"/>
  <c r="R68" i="34" s="1"/>
  <c r="R69" i="34" s="1"/>
  <c r="R70" i="34" s="1" a="1"/>
  <c r="R70" i="34" s="1"/>
  <c r="P27" i="33"/>
  <c r="P28" i="33"/>
  <c r="P55" i="33"/>
  <c r="P68" i="33" s="1"/>
  <c r="P69" i="33" s="1"/>
  <c r="P70" i="33" s="1" a="1"/>
  <c r="P70" i="33" s="1"/>
  <c r="AH52" i="36"/>
  <c r="AH27" i="36"/>
  <c r="AH28" i="36"/>
  <c r="AH55" i="36"/>
  <c r="AH68" i="36" s="1"/>
  <c r="AH69" i="36" s="1"/>
  <c r="AH70" i="36" s="1" a="1"/>
  <c r="AH70" i="36" s="1"/>
  <c r="O27" i="34"/>
  <c r="O28" i="34"/>
  <c r="O55" i="34"/>
  <c r="O68" i="34" s="1"/>
  <c r="O69" i="34" s="1"/>
  <c r="O70" i="34" s="1" a="1"/>
  <c r="O70" i="34" s="1"/>
  <c r="H40" i="34"/>
  <c r="S52" i="32"/>
  <c r="S40" i="32" s="1"/>
  <c r="X27" i="33"/>
  <c r="X28" i="33"/>
  <c r="X55" i="33"/>
  <c r="X68" i="33" s="1"/>
  <c r="X69" i="33" s="1"/>
  <c r="X70" i="33" s="1" a="1"/>
  <c r="X70" i="33" s="1"/>
  <c r="X28" i="34"/>
  <c r="X27" i="34"/>
  <c r="X55" i="34"/>
  <c r="X68" i="34" s="1"/>
  <c r="X69" i="34" s="1"/>
  <c r="X70" i="34" s="1" a="1"/>
  <c r="X70" i="34" s="1"/>
  <c r="T52" i="16"/>
  <c r="Z27" i="37"/>
  <c r="Z28" i="37"/>
  <c r="Z55" i="37"/>
  <c r="Z68" i="37" s="1"/>
  <c r="Z69" i="37" s="1"/>
  <c r="Z70" i="37" s="1" a="1"/>
  <c r="Z70" i="37" s="1"/>
  <c r="AI52" i="34"/>
  <c r="N27" i="34"/>
  <c r="N28" i="34"/>
  <c r="N55" i="34"/>
  <c r="N68" i="34" s="1"/>
  <c r="N69" i="34" s="1"/>
  <c r="N70" i="34" s="1" a="1"/>
  <c r="N70" i="34" s="1"/>
  <c r="AM3" i="29"/>
  <c r="F6" i="40" s="1"/>
  <c r="V27" i="30"/>
  <c r="V28" i="30"/>
  <c r="V55" i="30"/>
  <c r="V68" i="30" s="1"/>
  <c r="V69" i="30" s="1"/>
  <c r="V70" i="30" s="1" a="1"/>
  <c r="V70" i="30" s="1"/>
  <c r="AF55" i="31"/>
  <c r="AF68" i="31" s="1"/>
  <c r="AF69" i="31" s="1"/>
  <c r="AF70" i="31" s="1" a="1"/>
  <c r="AF70" i="31" s="1"/>
  <c r="AF27" i="31"/>
  <c r="AF28" i="31"/>
  <c r="W52" i="29"/>
  <c r="P55" i="32"/>
  <c r="P68" i="32" s="1"/>
  <c r="P69" i="32" s="1"/>
  <c r="P70" i="32" s="1" a="1"/>
  <c r="P70" i="32" s="1"/>
  <c r="P27" i="32"/>
  <c r="P28" i="32"/>
  <c r="AK27" i="37"/>
  <c r="AK28" i="37"/>
  <c r="AK55" i="37"/>
  <c r="AK68" i="37" s="1"/>
  <c r="AK69" i="37" s="1"/>
  <c r="AK70" i="37" s="1" a="1"/>
  <c r="AK70" i="37" s="1"/>
  <c r="U52" i="28"/>
  <c r="U40" i="28" s="1"/>
  <c r="N27" i="31"/>
  <c r="N28" i="31"/>
  <c r="N55" i="31"/>
  <c r="N68" i="31" s="1"/>
  <c r="N69" i="31" s="1"/>
  <c r="N70" i="31" s="1" a="1"/>
  <c r="N70" i="31" s="1"/>
  <c r="J52" i="30"/>
  <c r="N52" i="34"/>
  <c r="N40" i="34" s="1"/>
  <c r="AG28" i="35"/>
  <c r="AG27" i="35"/>
  <c r="AG55" i="35"/>
  <c r="AG68" i="35" s="1"/>
  <c r="AG69" i="35" s="1"/>
  <c r="AG70" i="35" s="1" a="1"/>
  <c r="AG70" i="35" s="1"/>
  <c r="H51" i="30"/>
  <c r="AM3" i="30"/>
  <c r="G6" i="40" s="1"/>
  <c r="O27" i="33"/>
  <c r="O28" i="33"/>
  <c r="O55" i="33"/>
  <c r="O68" i="33" s="1"/>
  <c r="O69" i="33" s="1"/>
  <c r="O70" i="33" s="1" a="1"/>
  <c r="O70" i="33" s="1"/>
  <c r="T52" i="33"/>
  <c r="T28" i="33"/>
  <c r="T27" i="33"/>
  <c r="T55" i="33"/>
  <c r="T68" i="33" s="1"/>
  <c r="T69" i="33" s="1"/>
  <c r="T70" i="33" s="1" a="1"/>
  <c r="T70" i="33" s="1"/>
  <c r="AK52" i="38"/>
  <c r="AK40" i="38" s="1"/>
  <c r="AA28" i="29"/>
  <c r="AA27" i="29"/>
  <c r="AA55" i="29"/>
  <c r="AA68" i="29" s="1"/>
  <c r="AA69" i="29" s="1"/>
  <c r="AA70" i="29" s="1" a="1"/>
  <c r="AA70" i="29" s="1"/>
  <c r="J52" i="28"/>
  <c r="J53" i="28" s="1"/>
  <c r="J66" i="28" s="1"/>
  <c r="J28" i="28"/>
  <c r="J27" i="28"/>
  <c r="J55" i="28"/>
  <c r="J68" i="28" s="1"/>
  <c r="J69" i="28" s="1"/>
  <c r="J70" i="28" s="1" a="1"/>
  <c r="J70" i="28" s="1"/>
  <c r="K27" i="34"/>
  <c r="K28" i="34"/>
  <c r="K55" i="34"/>
  <c r="K68" i="34" s="1"/>
  <c r="K69" i="34" s="1"/>
  <c r="K70" i="34" s="1" a="1"/>
  <c r="K70" i="34" s="1"/>
  <c r="O52" i="33"/>
  <c r="AE28" i="35"/>
  <c r="AE27" i="35"/>
  <c r="AE55" i="35"/>
  <c r="AE68" i="35" s="1"/>
  <c r="AE69" i="35" s="1"/>
  <c r="AE70" i="35" s="1" a="1"/>
  <c r="AE70" i="35" s="1"/>
  <c r="AH27" i="29"/>
  <c r="AH28" i="29"/>
  <c r="AH55" i="29"/>
  <c r="AH68" i="29" s="1"/>
  <c r="AH69" i="29" s="1"/>
  <c r="AH70" i="29" s="1" a="1"/>
  <c r="AH70" i="29" s="1"/>
  <c r="AE27" i="30"/>
  <c r="AE28" i="30"/>
  <c r="AE55" i="30"/>
  <c r="AE68" i="30" s="1"/>
  <c r="AE69" i="30" s="1"/>
  <c r="AE70" i="30" s="1" a="1"/>
  <c r="AE70" i="30" s="1"/>
  <c r="Z51" i="38"/>
  <c r="H27" i="30"/>
  <c r="H28" i="30"/>
  <c r="H55" i="30"/>
  <c r="AD52" i="37"/>
  <c r="AD40" i="37" s="1"/>
  <c r="V27" i="32"/>
  <c r="V28" i="32"/>
  <c r="V55" i="32"/>
  <c r="V68" i="32" s="1"/>
  <c r="V69" i="32" s="1"/>
  <c r="V70" i="32" s="1" a="1"/>
  <c r="V70" i="32" s="1"/>
  <c r="W52" i="38"/>
  <c r="W40" i="38" s="1"/>
  <c r="H52" i="31"/>
  <c r="AH27" i="28"/>
  <c r="AH28" i="28"/>
  <c r="AH55" i="28"/>
  <c r="AH68" i="28" s="1"/>
  <c r="AH69" i="28" s="1"/>
  <c r="AH70" i="28" s="1" a="1"/>
  <c r="AH70" i="28" s="1"/>
  <c r="E31" i="40"/>
  <c r="E45" i="40"/>
  <c r="AD27" i="16"/>
  <c r="AD28" i="16"/>
  <c r="AD55" i="16"/>
  <c r="AD68" i="16" s="1"/>
  <c r="AD69" i="16" s="1"/>
  <c r="AD70" i="16" s="1" a="1"/>
  <c r="AD70" i="16" s="1"/>
  <c r="Y52" i="32"/>
  <c r="Y40" i="32" s="1"/>
  <c r="J39" i="28"/>
  <c r="H31" i="40" l="1"/>
  <c r="AM57" i="31"/>
  <c r="Y70" i="29"/>
  <c r="T5" i="26" a="1"/>
  <c r="T5" i="26" s="1"/>
  <c r="AL72" i="38"/>
  <c r="T41" i="30"/>
  <c r="T72" i="30"/>
  <c r="O53" i="28"/>
  <c r="O66" i="28" s="1"/>
  <c r="E39" i="1"/>
  <c r="H34" i="1"/>
  <c r="I34" i="1" s="1"/>
  <c r="M34" i="1"/>
  <c r="R72" i="16"/>
  <c r="R41" i="16"/>
  <c r="J72" i="30"/>
  <c r="J41" i="30"/>
  <c r="N53" i="38"/>
  <c r="N66" i="38" s="1"/>
  <c r="Y41" i="16"/>
  <c r="Y72" i="16"/>
  <c r="H72" i="28"/>
  <c r="H41" i="28"/>
  <c r="K72" i="16"/>
  <c r="K41" i="16"/>
  <c r="O41" i="28"/>
  <c r="O72" i="28"/>
  <c r="V72" i="28"/>
  <c r="V41" i="28"/>
  <c r="AC72" i="28"/>
  <c r="AC41" i="28"/>
  <c r="AF41" i="16"/>
  <c r="AF72" i="16"/>
  <c r="AD53" i="29"/>
  <c r="AD66" i="29" s="1"/>
  <c r="AB53" i="38"/>
  <c r="AB66" i="38" s="1"/>
  <c r="V53" i="32"/>
  <c r="V66" i="32" s="1"/>
  <c r="X72" i="34"/>
  <c r="X41" i="34"/>
  <c r="Q53" i="34"/>
  <c r="Q66" i="34" s="1"/>
  <c r="AF41" i="31"/>
  <c r="AF72" i="31"/>
  <c r="AI72" i="35"/>
  <c r="AI41" i="35"/>
  <c r="M72" i="33"/>
  <c r="M41" i="33"/>
  <c r="AI72" i="38"/>
  <c r="AI41" i="38"/>
  <c r="P41" i="29"/>
  <c r="P72" i="29"/>
  <c r="T72" i="33"/>
  <c r="T41" i="33"/>
  <c r="AJ72" i="32"/>
  <c r="AJ41" i="32"/>
  <c r="U41" i="38"/>
  <c r="U72" i="38"/>
  <c r="Q72" i="34"/>
  <c r="Q41" i="34"/>
  <c r="N72" i="35"/>
  <c r="N41" i="35"/>
  <c r="N41" i="38"/>
  <c r="N72" i="38"/>
  <c r="AC72" i="32"/>
  <c r="AC41" i="32"/>
  <c r="R72" i="31"/>
  <c r="R41" i="31"/>
  <c r="AG41" i="36"/>
  <c r="AG72" i="36"/>
  <c r="AJ53" i="32"/>
  <c r="AJ66" i="32" s="1"/>
  <c r="AH41" i="33"/>
  <c r="AH72" i="33"/>
  <c r="J72" i="34"/>
  <c r="J41" i="34"/>
  <c r="P53" i="29"/>
  <c r="P66" i="29" s="1"/>
  <c r="AK72" i="37"/>
  <c r="AK41" i="37"/>
  <c r="Z72" i="36"/>
  <c r="Z41" i="36"/>
  <c r="K72" i="31"/>
  <c r="K41" i="31"/>
  <c r="I41" i="37"/>
  <c r="I72" i="37"/>
  <c r="W72" i="29"/>
  <c r="W41" i="29"/>
  <c r="AA72" i="33"/>
  <c r="AA41" i="33"/>
  <c r="AB72" i="35"/>
  <c r="AB41" i="35"/>
  <c r="AE72" i="34"/>
  <c r="AE41" i="34"/>
  <c r="W72" i="37"/>
  <c r="W41" i="37"/>
  <c r="I72" i="29"/>
  <c r="I41" i="29"/>
  <c r="V72" i="32"/>
  <c r="V41" i="32"/>
  <c r="AD72" i="29"/>
  <c r="AD41" i="29"/>
  <c r="AK72" i="29"/>
  <c r="AK41" i="29"/>
  <c r="AB72" i="38"/>
  <c r="AB41" i="38"/>
  <c r="AH72" i="30"/>
  <c r="AH41" i="30"/>
  <c r="S72" i="36"/>
  <c r="S41" i="36"/>
  <c r="AE53" i="38"/>
  <c r="AE66" i="38" s="1"/>
  <c r="Z51" i="31"/>
  <c r="Z39" i="31" s="1"/>
  <c r="Z52" i="31"/>
  <c r="Z40" i="31" s="1"/>
  <c r="G41" i="43"/>
  <c r="F41" i="43" s="1"/>
  <c r="G41" i="13"/>
  <c r="F41" i="13" s="1"/>
  <c r="G43" i="43"/>
  <c r="F43" i="43" s="1"/>
  <c r="G43" i="13"/>
  <c r="F43" i="13" s="1"/>
  <c r="G42" i="43"/>
  <c r="F42" i="43" s="1"/>
  <c r="G42" i="13"/>
  <c r="F42" i="13" s="1"/>
  <c r="AL53" i="38"/>
  <c r="AL66" i="38" s="1"/>
  <c r="T39" i="34"/>
  <c r="Z28" i="31"/>
  <c r="I53" i="35"/>
  <c r="I66" i="35" s="1"/>
  <c r="AJ53" i="16"/>
  <c r="AJ66" i="16" s="1"/>
  <c r="Z27" i="31"/>
  <c r="W53" i="16"/>
  <c r="W66" i="16" s="1"/>
  <c r="AF53" i="31"/>
  <c r="AF66" i="31" s="1"/>
  <c r="P53" i="30"/>
  <c r="P66" i="30" s="1"/>
  <c r="Q53" i="38"/>
  <c r="Q66" i="38" s="1"/>
  <c r="H45" i="40"/>
  <c r="AF53" i="29"/>
  <c r="AF66" i="29" s="1"/>
  <c r="AJ39" i="28"/>
  <c r="X53" i="35"/>
  <c r="X66" i="35" s="1"/>
  <c r="V53" i="36"/>
  <c r="V66" i="36" s="1"/>
  <c r="U53" i="31"/>
  <c r="U66" i="31" s="1"/>
  <c r="L53" i="28"/>
  <c r="L66" i="28" s="1"/>
  <c r="I53" i="30"/>
  <c r="I66" i="30" s="1"/>
  <c r="V53" i="16"/>
  <c r="V66" i="16" s="1"/>
  <c r="P69" i="31"/>
  <c r="P70" i="31" s="1" a="1"/>
  <c r="P70" i="31" s="1"/>
  <c r="AB51" i="31"/>
  <c r="AB39" i="31" s="1"/>
  <c r="K53" i="34"/>
  <c r="K66" i="34" s="1"/>
  <c r="AR10" i="26"/>
  <c r="G40" i="43"/>
  <c r="F40" i="43" s="1"/>
  <c r="AR12" i="26"/>
  <c r="F30" i="43"/>
  <c r="G30" i="43" s="1"/>
  <c r="AR9" i="26"/>
  <c r="G39" i="43"/>
  <c r="F39" i="43" s="1"/>
  <c r="AR13" i="26"/>
  <c r="F27" i="43"/>
  <c r="G27" i="43" s="1"/>
  <c r="AO54" i="34"/>
  <c r="AO30" i="26" s="1"/>
  <c r="AO54" i="38"/>
  <c r="AO34" i="26" s="1"/>
  <c r="AO54" i="33"/>
  <c r="AO29" i="26" s="1"/>
  <c r="AO54" i="29"/>
  <c r="AO25" i="26" s="1"/>
  <c r="AO54" i="30"/>
  <c r="AO26" i="26" s="1"/>
  <c r="AO54" i="36"/>
  <c r="AO32" i="26" s="1"/>
  <c r="AO54" i="37"/>
  <c r="AO33" i="26" s="1"/>
  <c r="AO54" i="32"/>
  <c r="AO28" i="26" s="1"/>
  <c r="AO54" i="16"/>
  <c r="AO23" i="26" s="1"/>
  <c r="AI53" i="16"/>
  <c r="AI66" i="16" s="1"/>
  <c r="AO54" i="28"/>
  <c r="AO24" i="26" s="1"/>
  <c r="M53" i="36"/>
  <c r="M66" i="36" s="1"/>
  <c r="AO54" i="35"/>
  <c r="AO31" i="26" s="1"/>
  <c r="O53" i="38"/>
  <c r="O66" i="38" s="1"/>
  <c r="AB53" i="16"/>
  <c r="AB66" i="16" s="1"/>
  <c r="M53" i="34"/>
  <c r="M66" i="34" s="1"/>
  <c r="AJ53" i="38"/>
  <c r="AJ66" i="38" s="1"/>
  <c r="R53" i="34"/>
  <c r="R66" i="34" s="1"/>
  <c r="AE53" i="37"/>
  <c r="AE66" i="37" s="1"/>
  <c r="Y53" i="34"/>
  <c r="Y66" i="34" s="1"/>
  <c r="W53" i="32"/>
  <c r="W66" i="32" s="1"/>
  <c r="AF53" i="28"/>
  <c r="AF66" i="28" s="1"/>
  <c r="N53" i="16"/>
  <c r="N66" i="16" s="1"/>
  <c r="X41" i="29"/>
  <c r="X72" i="29"/>
  <c r="AI72" i="16"/>
  <c r="AI41" i="16"/>
  <c r="Q72" i="29"/>
  <c r="Q41" i="29"/>
  <c r="AH41" i="36"/>
  <c r="AH72" i="36"/>
  <c r="W72" i="32"/>
  <c r="W41" i="32"/>
  <c r="U72" i="30"/>
  <c r="U41" i="30"/>
  <c r="AD72" i="32"/>
  <c r="AD41" i="32"/>
  <c r="V53" i="35"/>
  <c r="V66" i="35" s="1"/>
  <c r="N72" i="16"/>
  <c r="N41" i="16"/>
  <c r="S72" i="31"/>
  <c r="S41" i="31"/>
  <c r="AF72" i="28"/>
  <c r="AF41" i="28"/>
  <c r="AC72" i="35"/>
  <c r="AC41" i="35"/>
  <c r="AJ72" i="38"/>
  <c r="AJ41" i="38"/>
  <c r="AC41" i="38"/>
  <c r="AC72" i="38"/>
  <c r="X72" i="37"/>
  <c r="X41" i="37"/>
  <c r="AI72" i="30"/>
  <c r="AI41" i="30"/>
  <c r="AE41" i="37"/>
  <c r="AE72" i="37"/>
  <c r="V72" i="38"/>
  <c r="V41" i="38"/>
  <c r="J72" i="29"/>
  <c r="J41" i="29"/>
  <c r="Q72" i="37"/>
  <c r="Q41" i="37"/>
  <c r="J72" i="37"/>
  <c r="J41" i="37"/>
  <c r="P53" i="32"/>
  <c r="P66" i="32" s="1"/>
  <c r="AA41" i="31"/>
  <c r="AA72" i="31"/>
  <c r="AB72" i="16"/>
  <c r="AB41" i="16"/>
  <c r="K72" i="28"/>
  <c r="K41" i="28"/>
  <c r="AJ72" i="35"/>
  <c r="AJ41" i="35"/>
  <c r="Y72" i="28"/>
  <c r="Y41" i="28"/>
  <c r="AB72" i="30"/>
  <c r="AB41" i="30"/>
  <c r="AA41" i="36"/>
  <c r="AA72" i="36"/>
  <c r="O41" i="38"/>
  <c r="O72" i="38"/>
  <c r="N72" i="33"/>
  <c r="N41" i="33"/>
  <c r="AB72" i="33"/>
  <c r="AB41" i="33"/>
  <c r="AK41" i="32"/>
  <c r="AK72" i="32"/>
  <c r="M72" i="36"/>
  <c r="M41" i="36"/>
  <c r="H72" i="35"/>
  <c r="H41" i="35"/>
  <c r="AF72" i="34"/>
  <c r="AF41" i="34"/>
  <c r="Y41" i="34"/>
  <c r="Y72" i="34"/>
  <c r="T41" i="36"/>
  <c r="T72" i="36"/>
  <c r="AG72" i="31"/>
  <c r="AG41" i="31"/>
  <c r="R72" i="34"/>
  <c r="R41" i="34"/>
  <c r="K41" i="34"/>
  <c r="K72" i="34"/>
  <c r="H41" i="30"/>
  <c r="H72" i="30"/>
  <c r="L72" i="31"/>
  <c r="L41" i="31"/>
  <c r="V72" i="35"/>
  <c r="V41" i="35"/>
  <c r="I41" i="32"/>
  <c r="I72" i="32"/>
  <c r="P41" i="32"/>
  <c r="P72" i="32"/>
  <c r="L69" i="16"/>
  <c r="L70" i="16" s="1" a="1"/>
  <c r="L70" i="16" s="1"/>
  <c r="T39" i="29"/>
  <c r="V39" i="35"/>
  <c r="AK39" i="36"/>
  <c r="AB39" i="34"/>
  <c r="X53" i="37"/>
  <c r="X66" i="37" s="1"/>
  <c r="AH53" i="32"/>
  <c r="AH66" i="32" s="1"/>
  <c r="AI53" i="28"/>
  <c r="AI66" i="28" s="1"/>
  <c r="AE53" i="28"/>
  <c r="AE66" i="28" s="1"/>
  <c r="X39" i="32"/>
  <c r="I53" i="38"/>
  <c r="I66" i="38" s="1"/>
  <c r="L53" i="31"/>
  <c r="L66" i="31" s="1"/>
  <c r="N39" i="38"/>
  <c r="AC53" i="38"/>
  <c r="AC66" i="38" s="1"/>
  <c r="Y39" i="37"/>
  <c r="AE39" i="37"/>
  <c r="P39" i="29"/>
  <c r="N53" i="35"/>
  <c r="N66" i="35" s="1"/>
  <c r="P39" i="35"/>
  <c r="O39" i="38"/>
  <c r="W39" i="32"/>
  <c r="M39" i="36"/>
  <c r="Q53" i="37"/>
  <c r="Q66" i="37" s="1"/>
  <c r="AB53" i="30"/>
  <c r="AB66" i="30" s="1"/>
  <c r="J53" i="16"/>
  <c r="J66" i="16" s="1"/>
  <c r="R53" i="29"/>
  <c r="R66" i="29" s="1"/>
  <c r="K39" i="31"/>
  <c r="AD39" i="29"/>
  <c r="R39" i="34"/>
  <c r="AE53" i="30"/>
  <c r="AE66" i="30" s="1"/>
  <c r="R53" i="30"/>
  <c r="R66" i="30" s="1"/>
  <c r="X39" i="28"/>
  <c r="AK53" i="32"/>
  <c r="AK66" i="32" s="1"/>
  <c r="O53" i="29"/>
  <c r="O66" i="29" s="1"/>
  <c r="AE53" i="16"/>
  <c r="AE66" i="16" s="1"/>
  <c r="AI53" i="30"/>
  <c r="AI66" i="30" s="1"/>
  <c r="AF39" i="28"/>
  <c r="Q53" i="28"/>
  <c r="Q66" i="28" s="1"/>
  <c r="L53" i="16"/>
  <c r="L66" i="16" s="1"/>
  <c r="J53" i="29"/>
  <c r="J66" i="29" s="1"/>
  <c r="W53" i="37"/>
  <c r="W66" i="37" s="1"/>
  <c r="O53" i="31"/>
  <c r="O66" i="31" s="1"/>
  <c r="M53" i="28"/>
  <c r="M66" i="28" s="1"/>
  <c r="AE53" i="33"/>
  <c r="AE66" i="33" s="1"/>
  <c r="U53" i="38"/>
  <c r="U66" i="38" s="1"/>
  <c r="AG53" i="30"/>
  <c r="AG66" i="30" s="1"/>
  <c r="Y39" i="34"/>
  <c r="H53" i="36"/>
  <c r="H66" i="36" s="1"/>
  <c r="L53" i="38"/>
  <c r="L66" i="38" s="1"/>
  <c r="V53" i="29"/>
  <c r="V66" i="29" s="1"/>
  <c r="AF53" i="30"/>
  <c r="AF66" i="30" s="1"/>
  <c r="L53" i="30"/>
  <c r="L66" i="30" s="1"/>
  <c r="M53" i="31"/>
  <c r="M66" i="31" s="1"/>
  <c r="AG53" i="31"/>
  <c r="AG66" i="31" s="1"/>
  <c r="AA53" i="16"/>
  <c r="AA66" i="16" s="1"/>
  <c r="R53" i="35"/>
  <c r="R66" i="35" s="1"/>
  <c r="S53" i="31"/>
  <c r="S66" i="31" s="1"/>
  <c r="H53" i="28"/>
  <c r="H66" i="28" s="1"/>
  <c r="AK53" i="29"/>
  <c r="AK66" i="29" s="1"/>
  <c r="R53" i="16"/>
  <c r="R66" i="16" s="1"/>
  <c r="I53" i="29"/>
  <c r="I66" i="29" s="1"/>
  <c r="AF39" i="16"/>
  <c r="L53" i="35"/>
  <c r="L66" i="35" s="1"/>
  <c r="AH53" i="16"/>
  <c r="AH66" i="16" s="1"/>
  <c r="AH53" i="33"/>
  <c r="AH66" i="33" s="1"/>
  <c r="P53" i="31"/>
  <c r="P66" i="31" s="1"/>
  <c r="P39" i="31"/>
  <c r="AH53" i="30"/>
  <c r="AH66" i="30" s="1"/>
  <c r="AH53" i="28"/>
  <c r="AH66" i="28" s="1"/>
  <c r="AG53" i="16"/>
  <c r="AG66" i="16" s="1"/>
  <c r="AJ39" i="38"/>
  <c r="X53" i="30"/>
  <c r="X66" i="30" s="1"/>
  <c r="U39" i="32"/>
  <c r="K53" i="37"/>
  <c r="K66" i="37" s="1"/>
  <c r="T53" i="30"/>
  <c r="T66" i="30" s="1"/>
  <c r="T39" i="30"/>
  <c r="I53" i="28"/>
  <c r="I66" i="28" s="1"/>
  <c r="X53" i="29"/>
  <c r="X66" i="29" s="1"/>
  <c r="Q53" i="29"/>
  <c r="Q66" i="29" s="1"/>
  <c r="AI53" i="35"/>
  <c r="AI66" i="35" s="1"/>
  <c r="AJ53" i="33"/>
  <c r="AJ66" i="33" s="1"/>
  <c r="T53" i="36"/>
  <c r="T66" i="36" s="1"/>
  <c r="N53" i="37"/>
  <c r="N66" i="37" s="1"/>
  <c r="AG53" i="36"/>
  <c r="AG66" i="36" s="1"/>
  <c r="AF53" i="32"/>
  <c r="AF66" i="32" s="1"/>
  <c r="X53" i="36"/>
  <c r="X66" i="36" s="1"/>
  <c r="K39" i="34"/>
  <c r="AJ39" i="37"/>
  <c r="I53" i="31"/>
  <c r="I66" i="31" s="1"/>
  <c r="Q53" i="35"/>
  <c r="Q66" i="35" s="1"/>
  <c r="L53" i="29"/>
  <c r="L66" i="29" s="1"/>
  <c r="AK53" i="30"/>
  <c r="AK66" i="30" s="1"/>
  <c r="K53" i="16"/>
  <c r="K66" i="16" s="1"/>
  <c r="K53" i="36"/>
  <c r="K66" i="36" s="1"/>
  <c r="K53" i="28"/>
  <c r="K66" i="28" s="1"/>
  <c r="Z53" i="28"/>
  <c r="Z66" i="28" s="1"/>
  <c r="AH39" i="32"/>
  <c r="AE53" i="34"/>
  <c r="AE66" i="34" s="1"/>
  <c r="M53" i="37"/>
  <c r="M66" i="37" s="1"/>
  <c r="AA53" i="36"/>
  <c r="AA66" i="36" s="1"/>
  <c r="P39" i="38"/>
  <c r="AK53" i="37"/>
  <c r="AK66" i="37" s="1"/>
  <c r="S53" i="38"/>
  <c r="S66" i="38" s="1"/>
  <c r="AL53" i="33"/>
  <c r="AL66" i="33" s="1"/>
  <c r="R53" i="38"/>
  <c r="R66" i="38" s="1"/>
  <c r="AJ39" i="32"/>
  <c r="AB39" i="38"/>
  <c r="AF53" i="35"/>
  <c r="AF66" i="35" s="1"/>
  <c r="J53" i="34"/>
  <c r="J66" i="34" s="1"/>
  <c r="AD39" i="35"/>
  <c r="F27" i="13"/>
  <c r="G27" i="13" s="1"/>
  <c r="S39" i="38"/>
  <c r="J39" i="33"/>
  <c r="K53" i="38"/>
  <c r="K66" i="38" s="1"/>
  <c r="J53" i="35"/>
  <c r="J66" i="35" s="1"/>
  <c r="AI53" i="38"/>
  <c r="AI66" i="38" s="1"/>
  <c r="Y39" i="29"/>
  <c r="AL41" i="38"/>
  <c r="AC53" i="16"/>
  <c r="AC66" i="16" s="1"/>
  <c r="N53" i="36"/>
  <c r="N66" i="36" s="1"/>
  <c r="AA53" i="33"/>
  <c r="AA66" i="33" s="1"/>
  <c r="AG53" i="28"/>
  <c r="AG66" i="28" s="1"/>
  <c r="Q39" i="34"/>
  <c r="J53" i="38"/>
  <c r="J66" i="38" s="1"/>
  <c r="AG53" i="37"/>
  <c r="AG66" i="37" s="1"/>
  <c r="AD53" i="31"/>
  <c r="AD66" i="31" s="1"/>
  <c r="N53" i="32"/>
  <c r="N66" i="32" s="1"/>
  <c r="AF53" i="36"/>
  <c r="AF66" i="36" s="1"/>
  <c r="W53" i="28"/>
  <c r="W66" i="28" s="1"/>
  <c r="AH39" i="29"/>
  <c r="AD53" i="28"/>
  <c r="AD66" i="28" s="1"/>
  <c r="I53" i="34"/>
  <c r="I66" i="34" s="1"/>
  <c r="Z53" i="35"/>
  <c r="Z66" i="35" s="1"/>
  <c r="P53" i="34"/>
  <c r="P66" i="34" s="1"/>
  <c r="AD53" i="30"/>
  <c r="AD66" i="30" s="1"/>
  <c r="K39" i="29"/>
  <c r="AC53" i="31"/>
  <c r="AC66" i="31" s="1"/>
  <c r="X53" i="34"/>
  <c r="X66" i="34" s="1"/>
  <c r="AH53" i="31"/>
  <c r="AH66" i="31" s="1"/>
  <c r="X53" i="38"/>
  <c r="X66" i="38" s="1"/>
  <c r="AA53" i="38"/>
  <c r="AA66" i="38" s="1"/>
  <c r="R53" i="37"/>
  <c r="R66" i="37" s="1"/>
  <c r="U53" i="36"/>
  <c r="U66" i="36" s="1"/>
  <c r="AI53" i="31"/>
  <c r="AI66" i="31" s="1"/>
  <c r="M53" i="33"/>
  <c r="M66" i="33" s="1"/>
  <c r="M53" i="35"/>
  <c r="M66" i="35" s="1"/>
  <c r="Y53" i="36"/>
  <c r="Y66" i="36" s="1"/>
  <c r="AL53" i="16"/>
  <c r="AL66" i="16" s="1"/>
  <c r="AE53" i="31"/>
  <c r="AE66" i="31" s="1"/>
  <c r="AJ53" i="35"/>
  <c r="AJ66" i="35" s="1"/>
  <c r="N53" i="30"/>
  <c r="N66" i="30" s="1"/>
  <c r="O53" i="30"/>
  <c r="O66" i="30" s="1"/>
  <c r="P53" i="33"/>
  <c r="P66" i="33" s="1"/>
  <c r="N53" i="33"/>
  <c r="N66" i="33" s="1"/>
  <c r="N39" i="37"/>
  <c r="AB39" i="16"/>
  <c r="AL53" i="31"/>
  <c r="AL66" i="31" s="1"/>
  <c r="AD53" i="34"/>
  <c r="AD66" i="34" s="1"/>
  <c r="V39" i="30"/>
  <c r="AC53" i="35"/>
  <c r="AC66" i="35" s="1"/>
  <c r="X53" i="33"/>
  <c r="X66" i="33" s="1"/>
  <c r="K53" i="32"/>
  <c r="K66" i="32" s="1"/>
  <c r="T39" i="38"/>
  <c r="AC53" i="32"/>
  <c r="AC66" i="32" s="1"/>
  <c r="S53" i="28"/>
  <c r="S66" i="28" s="1"/>
  <c r="P39" i="32"/>
  <c r="O53" i="34"/>
  <c r="O66" i="34" s="1"/>
  <c r="Z53" i="36"/>
  <c r="Z66" i="36" s="1"/>
  <c r="AG53" i="32"/>
  <c r="AG66" i="32" s="1"/>
  <c r="AI39" i="32"/>
  <c r="AC53" i="28"/>
  <c r="AC66" i="28" s="1"/>
  <c r="AA53" i="32"/>
  <c r="AA66" i="32" s="1"/>
  <c r="AK39" i="35"/>
  <c r="Z39" i="32"/>
  <c r="P53" i="28"/>
  <c r="P66" i="28" s="1"/>
  <c r="AC53" i="34"/>
  <c r="AC66" i="34" s="1"/>
  <c r="AJ53" i="31"/>
  <c r="AJ66" i="31" s="1"/>
  <c r="K39" i="36"/>
  <c r="Q53" i="36"/>
  <c r="Q66" i="36" s="1"/>
  <c r="V39" i="32"/>
  <c r="AB53" i="35"/>
  <c r="AB66" i="35" s="1"/>
  <c r="O39" i="37"/>
  <c r="AA53" i="29"/>
  <c r="AA66" i="29" s="1"/>
  <c r="AA39" i="37"/>
  <c r="Z53" i="29"/>
  <c r="Z66" i="29" s="1"/>
  <c r="X53" i="16"/>
  <c r="X66" i="16" s="1"/>
  <c r="P53" i="37"/>
  <c r="P66" i="37" s="1"/>
  <c r="J39" i="32"/>
  <c r="S53" i="33"/>
  <c r="S66" i="33" s="1"/>
  <c r="K53" i="33"/>
  <c r="K66" i="33" s="1"/>
  <c r="AC53" i="37"/>
  <c r="AC66" i="37" s="1"/>
  <c r="AJ53" i="34"/>
  <c r="AJ66" i="34" s="1"/>
  <c r="AM54" i="33"/>
  <c r="J42" i="40" s="1"/>
  <c r="M39" i="38"/>
  <c r="I53" i="33"/>
  <c r="I66" i="33" s="1"/>
  <c r="W53" i="31"/>
  <c r="W66" i="31" s="1"/>
  <c r="W53" i="34"/>
  <c r="W66" i="34" s="1"/>
  <c r="Y53" i="31"/>
  <c r="Y66" i="31" s="1"/>
  <c r="Q53" i="33"/>
  <c r="Q66" i="33" s="1"/>
  <c r="AI53" i="36"/>
  <c r="AI66" i="36" s="1"/>
  <c r="V53" i="31"/>
  <c r="V66" i="31" s="1"/>
  <c r="Y53" i="38"/>
  <c r="Y66" i="38" s="1"/>
  <c r="AM3" i="31"/>
  <c r="H6" i="40" s="1"/>
  <c r="P6" i="40" s="1"/>
  <c r="G38" i="1" s="1"/>
  <c r="AA53" i="30"/>
  <c r="AA66" i="30" s="1"/>
  <c r="AI53" i="29"/>
  <c r="AI66" i="29" s="1"/>
  <c r="T39" i="28"/>
  <c r="AK53" i="33"/>
  <c r="AK66" i="33" s="1"/>
  <c r="AA53" i="31"/>
  <c r="AA66" i="31" s="1"/>
  <c r="V39" i="33"/>
  <c r="AF53" i="33"/>
  <c r="AF66" i="33" s="1"/>
  <c r="AD53" i="16"/>
  <c r="AD66" i="16" s="1"/>
  <c r="AE53" i="32"/>
  <c r="AE66" i="32" s="1"/>
  <c r="AG53" i="29"/>
  <c r="AG66" i="29" s="1"/>
  <c r="Z53" i="37"/>
  <c r="Z66" i="37" s="1"/>
  <c r="AG53" i="35"/>
  <c r="AG66" i="35" s="1"/>
  <c r="N53" i="28"/>
  <c r="N66" i="28" s="1"/>
  <c r="AH53" i="34"/>
  <c r="AH66" i="34" s="1"/>
  <c r="AD53" i="36"/>
  <c r="AD66" i="36" s="1"/>
  <c r="Z41" i="35"/>
  <c r="Z72" i="35"/>
  <c r="Y53" i="28"/>
  <c r="Y66" i="28" s="1"/>
  <c r="M53" i="32"/>
  <c r="M66" i="32" s="1"/>
  <c r="K72" i="30"/>
  <c r="K41" i="30"/>
  <c r="Z72" i="38"/>
  <c r="Z41" i="38"/>
  <c r="Y41" i="30"/>
  <c r="Y72" i="30"/>
  <c r="AG72" i="35"/>
  <c r="AG41" i="35"/>
  <c r="AI41" i="29"/>
  <c r="AI72" i="29"/>
  <c r="T41" i="32"/>
  <c r="T72" i="32"/>
  <c r="AD41" i="31"/>
  <c r="AD72" i="31"/>
  <c r="AM26" i="31"/>
  <c r="H15" i="40" s="1"/>
  <c r="P15" i="40" s="1"/>
  <c r="O39" i="28"/>
  <c r="AE53" i="36"/>
  <c r="AE66" i="36" s="1"/>
  <c r="AK53" i="31"/>
  <c r="AK66" i="31" s="1"/>
  <c r="Q53" i="16"/>
  <c r="Q66" i="16" s="1"/>
  <c r="AB53" i="32"/>
  <c r="AB66" i="32" s="1"/>
  <c r="AB72" i="37"/>
  <c r="AB41" i="37"/>
  <c r="AI72" i="37"/>
  <c r="AI41" i="37"/>
  <c r="U72" i="37"/>
  <c r="U41" i="37"/>
  <c r="AK53" i="16"/>
  <c r="AK66" i="16" s="1"/>
  <c r="AM51" i="16"/>
  <c r="D39" i="40" s="1"/>
  <c r="W53" i="35"/>
  <c r="W66" i="35" s="1"/>
  <c r="AJ53" i="36"/>
  <c r="AJ66" i="36" s="1"/>
  <c r="K72" i="33"/>
  <c r="K41" i="33"/>
  <c r="AF39" i="38"/>
  <c r="AF53" i="38"/>
  <c r="AF66" i="38" s="1"/>
  <c r="AJ72" i="34"/>
  <c r="AJ41" i="34"/>
  <c r="P72" i="31"/>
  <c r="P41" i="31"/>
  <c r="O53" i="32"/>
  <c r="O66" i="32" s="1"/>
  <c r="AH53" i="38"/>
  <c r="AH66" i="38" s="1"/>
  <c r="AJ53" i="29"/>
  <c r="AJ66" i="29" s="1"/>
  <c r="R72" i="30"/>
  <c r="R41" i="30"/>
  <c r="AE41" i="36"/>
  <c r="AE72" i="36"/>
  <c r="J72" i="16"/>
  <c r="J41" i="16"/>
  <c r="AI72" i="28"/>
  <c r="AI41" i="28"/>
  <c r="L72" i="38"/>
  <c r="L41" i="38"/>
  <c r="R72" i="33"/>
  <c r="R41" i="33"/>
  <c r="X41" i="16"/>
  <c r="X72" i="16"/>
  <c r="O53" i="16"/>
  <c r="O66" i="16" s="1"/>
  <c r="M72" i="32"/>
  <c r="M41" i="32"/>
  <c r="AK41" i="31"/>
  <c r="AK72" i="31"/>
  <c r="Q72" i="16"/>
  <c r="Q41" i="16"/>
  <c r="N72" i="28"/>
  <c r="N41" i="28"/>
  <c r="F30" i="13"/>
  <c r="G30" i="13" s="1"/>
  <c r="AC39" i="33"/>
  <c r="Z53" i="33"/>
  <c r="Z66" i="33" s="1"/>
  <c r="T53" i="32"/>
  <c r="T66" i="32" s="1"/>
  <c r="L53" i="37"/>
  <c r="L66" i="37" s="1"/>
  <c r="AM51" i="36"/>
  <c r="M39" i="40" s="1"/>
  <c r="U53" i="37"/>
  <c r="U66" i="37" s="1"/>
  <c r="AG53" i="33"/>
  <c r="AG66" i="33" s="1"/>
  <c r="V53" i="37"/>
  <c r="V66" i="37" s="1"/>
  <c r="Q53" i="31"/>
  <c r="Q66" i="31" s="1"/>
  <c r="AI53" i="37"/>
  <c r="AI66" i="37" s="1"/>
  <c r="Y53" i="33"/>
  <c r="Y66" i="33" s="1"/>
  <c r="AH53" i="35"/>
  <c r="AH66" i="35" s="1"/>
  <c r="L53" i="33"/>
  <c r="L66" i="33" s="1"/>
  <c r="AE39" i="36"/>
  <c r="AE41" i="31"/>
  <c r="AE72" i="31"/>
  <c r="K53" i="30"/>
  <c r="K66" i="30" s="1"/>
  <c r="AC53" i="29"/>
  <c r="AC66" i="29" s="1"/>
  <c r="V72" i="37"/>
  <c r="V41" i="37"/>
  <c r="L72" i="33"/>
  <c r="L41" i="33"/>
  <c r="Q41" i="31"/>
  <c r="Q72" i="31"/>
  <c r="AB72" i="32"/>
  <c r="AB41" i="32"/>
  <c r="AH53" i="37"/>
  <c r="AH66" i="37" s="1"/>
  <c r="AC72" i="29"/>
  <c r="AC41" i="29"/>
  <c r="N53" i="31"/>
  <c r="N66" i="31" s="1"/>
  <c r="AK39" i="31"/>
  <c r="R40" i="32"/>
  <c r="R53" i="32"/>
  <c r="R66" i="32" s="1"/>
  <c r="S53" i="16"/>
  <c r="S66" i="16" s="1"/>
  <c r="S72" i="16"/>
  <c r="S41" i="16"/>
  <c r="AG72" i="33"/>
  <c r="AG41" i="33"/>
  <c r="AH72" i="35"/>
  <c r="AH41" i="35"/>
  <c r="AG39" i="38"/>
  <c r="AG53" i="38"/>
  <c r="AG66" i="38" s="1"/>
  <c r="AG72" i="28"/>
  <c r="AG41" i="28"/>
  <c r="AI53" i="33"/>
  <c r="AI66" i="33" s="1"/>
  <c r="AE41" i="35"/>
  <c r="AE72" i="35"/>
  <c r="J53" i="36"/>
  <c r="J66" i="36" s="1"/>
  <c r="AG41" i="38"/>
  <c r="AG72" i="38"/>
  <c r="AM27" i="38"/>
  <c r="O16" i="40" s="1"/>
  <c r="AM52" i="37"/>
  <c r="N72" i="31"/>
  <c r="N41" i="31"/>
  <c r="L41" i="29"/>
  <c r="L72" i="29"/>
  <c r="Z40" i="30"/>
  <c r="Z53" i="30"/>
  <c r="Z66" i="30" s="1"/>
  <c r="J53" i="31"/>
  <c r="J66" i="31" s="1"/>
  <c r="U53" i="33"/>
  <c r="U66" i="33" s="1"/>
  <c r="AM52" i="30"/>
  <c r="AE53" i="35"/>
  <c r="AE66" i="35" s="1"/>
  <c r="H40" i="37"/>
  <c r="H53" i="37"/>
  <c r="H66" i="37" s="1"/>
  <c r="X53" i="31"/>
  <c r="X66" i="31" s="1"/>
  <c r="N53" i="29"/>
  <c r="N66" i="29" s="1"/>
  <c r="V53" i="34"/>
  <c r="V66" i="34" s="1"/>
  <c r="AK72" i="33"/>
  <c r="AK41" i="33"/>
  <c r="AC72" i="16"/>
  <c r="AC41" i="16"/>
  <c r="AM52" i="36"/>
  <c r="AB53" i="29"/>
  <c r="AB66" i="29" s="1"/>
  <c r="S53" i="35"/>
  <c r="S66" i="35" s="1"/>
  <c r="H40" i="29"/>
  <c r="H53" i="29"/>
  <c r="H66" i="29" s="1"/>
  <c r="AA53" i="35"/>
  <c r="AA66" i="35" s="1"/>
  <c r="AG53" i="34"/>
  <c r="AG66" i="34" s="1"/>
  <c r="R40" i="33"/>
  <c r="R53" i="33"/>
  <c r="R66" i="33" s="1"/>
  <c r="R53" i="36"/>
  <c r="R66" i="36" s="1"/>
  <c r="AM27" i="30"/>
  <c r="G16" i="40" s="1"/>
  <c r="C23" i="29"/>
  <c r="C22" i="29" s="1"/>
  <c r="AK40" i="34"/>
  <c r="AK53" i="34"/>
  <c r="AK66" i="34" s="1"/>
  <c r="W53" i="38"/>
  <c r="W66" i="38" s="1"/>
  <c r="W39" i="38"/>
  <c r="U39" i="29"/>
  <c r="U53" i="29"/>
  <c r="U66" i="29" s="1"/>
  <c r="H40" i="32"/>
  <c r="AM52" i="32"/>
  <c r="AM66" i="32" s="1"/>
  <c r="H53" i="32"/>
  <c r="H66" i="32" s="1"/>
  <c r="H53" i="38"/>
  <c r="H66" i="38" s="1"/>
  <c r="H39" i="38"/>
  <c r="AM51" i="38"/>
  <c r="O39" i="40" s="1"/>
  <c r="H68" i="33"/>
  <c r="H69" i="33" s="1"/>
  <c r="H70" i="33" s="1" a="1"/>
  <c r="H70" i="33" s="1"/>
  <c r="G38" i="26" s="1" a="1"/>
  <c r="G38" i="26" s="1"/>
  <c r="AM55" i="33"/>
  <c r="J43" i="40" s="1"/>
  <c r="AB40" i="36"/>
  <c r="AB53" i="36"/>
  <c r="AB66" i="36" s="1"/>
  <c r="AM51" i="35"/>
  <c r="L39" i="40" s="1"/>
  <c r="H53" i="35"/>
  <c r="H66" i="35" s="1"/>
  <c r="H39" i="35"/>
  <c r="AD40" i="38"/>
  <c r="AD53" i="38"/>
  <c r="AD66" i="38" s="1"/>
  <c r="Y53" i="35"/>
  <c r="Y66" i="35" s="1"/>
  <c r="AM27" i="16"/>
  <c r="D16" i="40" s="1"/>
  <c r="AE53" i="29"/>
  <c r="AE66" i="29" s="1"/>
  <c r="AM27" i="34"/>
  <c r="K16" i="40" s="1"/>
  <c r="I72" i="28"/>
  <c r="I41" i="28"/>
  <c r="AM54" i="28"/>
  <c r="H40" i="31"/>
  <c r="AK72" i="34"/>
  <c r="AK41" i="34"/>
  <c r="AD53" i="37"/>
  <c r="AD66" i="37" s="1"/>
  <c r="I40" i="32"/>
  <c r="I53" i="32"/>
  <c r="I66" i="32" s="1"/>
  <c r="AF72" i="38"/>
  <c r="AF41" i="38"/>
  <c r="H68" i="35"/>
  <c r="H69" i="35" s="1"/>
  <c r="H70" i="35" s="1" a="1"/>
  <c r="H70" i="35" s="1"/>
  <c r="S38" i="26" s="1" a="1"/>
  <c r="S38" i="26" s="1"/>
  <c r="AM55" i="35"/>
  <c r="L43" i="40" s="1"/>
  <c r="V40" i="38"/>
  <c r="V53" i="38"/>
  <c r="V66" i="38" s="1"/>
  <c r="Y72" i="36"/>
  <c r="Y41" i="36"/>
  <c r="AM54" i="36"/>
  <c r="U53" i="16"/>
  <c r="U66" i="16" s="1"/>
  <c r="AE72" i="38"/>
  <c r="AE41" i="38"/>
  <c r="H68" i="31"/>
  <c r="H69" i="31" s="1"/>
  <c r="H70" i="31" s="1" a="1"/>
  <c r="H70" i="31" s="1"/>
  <c r="AF40" i="34"/>
  <c r="AF53" i="34"/>
  <c r="AF66" i="34" s="1"/>
  <c r="AR5" i="26"/>
  <c r="W40" i="36"/>
  <c r="W53" i="36"/>
  <c r="W66" i="36" s="1"/>
  <c r="AA53" i="28"/>
  <c r="AA66" i="28" s="1"/>
  <c r="H53" i="33"/>
  <c r="H66" i="33" s="1"/>
  <c r="H39" i="33"/>
  <c r="AM51" i="33"/>
  <c r="J39" i="40" s="1"/>
  <c r="K53" i="35"/>
  <c r="K66" i="35" s="1"/>
  <c r="Z40" i="16"/>
  <c r="Z53" i="16"/>
  <c r="Z66" i="16" s="1"/>
  <c r="AM27" i="37"/>
  <c r="N16" i="40" s="1"/>
  <c r="U40" i="34"/>
  <c r="U53" i="34"/>
  <c r="U66" i="34" s="1"/>
  <c r="AC72" i="36"/>
  <c r="AC41" i="36"/>
  <c r="P40" i="16"/>
  <c r="P53" i="16"/>
  <c r="P66" i="16" s="1"/>
  <c r="V53" i="28"/>
  <c r="V66" i="28" s="1"/>
  <c r="V39" i="28"/>
  <c r="AM52" i="35"/>
  <c r="AM66" i="35" s="1"/>
  <c r="J40" i="28"/>
  <c r="AM52" i="28"/>
  <c r="AM66" i="28" s="1"/>
  <c r="Y53" i="32"/>
  <c r="Y66" i="32" s="1"/>
  <c r="T40" i="16"/>
  <c r="T53" i="16"/>
  <c r="T66" i="16" s="1"/>
  <c r="AK53" i="38"/>
  <c r="AK66" i="38" s="1"/>
  <c r="AI72" i="32"/>
  <c r="AI41" i="32"/>
  <c r="U40" i="30"/>
  <c r="U53" i="30"/>
  <c r="U66" i="30" s="1"/>
  <c r="AM27" i="36"/>
  <c r="M16" i="40" s="1"/>
  <c r="S53" i="32"/>
  <c r="S66" i="32" s="1"/>
  <c r="AM27" i="33"/>
  <c r="J16" i="40" s="1"/>
  <c r="K74" i="16"/>
  <c r="J75" i="16"/>
  <c r="AR7" i="26"/>
  <c r="H68" i="36"/>
  <c r="H69" i="36" s="1"/>
  <c r="H70" i="36" s="1" a="1"/>
  <c r="H70" i="36" s="1"/>
  <c r="Y38" i="26" s="1" a="1"/>
  <c r="Y38" i="26" s="1"/>
  <c r="AM55" i="36"/>
  <c r="M43" i="40" s="1"/>
  <c r="AD53" i="33"/>
  <c r="AD66" i="33" s="1"/>
  <c r="H53" i="34"/>
  <c r="H66" i="34" s="1"/>
  <c r="H39" i="34"/>
  <c r="AM51" i="34"/>
  <c r="K39" i="40" s="1"/>
  <c r="AR8" i="26"/>
  <c r="R40" i="31"/>
  <c r="R53" i="31"/>
  <c r="R66" i="31" s="1"/>
  <c r="L53" i="36"/>
  <c r="L66" i="36" s="1"/>
  <c r="O53" i="35"/>
  <c r="O66" i="35" s="1"/>
  <c r="P40" i="36"/>
  <c r="P53" i="36"/>
  <c r="P66" i="36" s="1"/>
  <c r="H68" i="30"/>
  <c r="H69" i="30" s="1"/>
  <c r="H70" i="30" s="1" a="1"/>
  <c r="H70" i="30" s="1"/>
  <c r="Y5" i="26" s="1" a="1"/>
  <c r="Y5" i="26" s="1"/>
  <c r="AM55" i="30"/>
  <c r="G43" i="40" s="1"/>
  <c r="O40" i="33"/>
  <c r="O53" i="33"/>
  <c r="O66" i="33" s="1"/>
  <c r="J40" i="30"/>
  <c r="J53" i="30"/>
  <c r="J66" i="30" s="1"/>
  <c r="AI40" i="34"/>
  <c r="AI53" i="34"/>
  <c r="AI66" i="34" s="1"/>
  <c r="AH40" i="36"/>
  <c r="AH53" i="36"/>
  <c r="AH66" i="36" s="1"/>
  <c r="AM55" i="38"/>
  <c r="O43" i="40" s="1"/>
  <c r="H68" i="38"/>
  <c r="H69" i="38" s="1"/>
  <c r="H70" i="38" s="1" a="1"/>
  <c r="H70" i="38" s="1"/>
  <c r="AK38" i="26" s="1" a="1"/>
  <c r="AK38" i="26" s="1"/>
  <c r="H68" i="32"/>
  <c r="H69" i="32" s="1"/>
  <c r="H70" i="32" s="1" a="1"/>
  <c r="H70" i="32" s="1"/>
  <c r="AK5" i="26" s="1" a="1"/>
  <c r="AK5" i="26" s="1"/>
  <c r="AM55" i="32"/>
  <c r="I43" i="40" s="1"/>
  <c r="AM27" i="35"/>
  <c r="L16" i="40" s="1"/>
  <c r="S53" i="34"/>
  <c r="S66" i="34" s="1"/>
  <c r="S39" i="34"/>
  <c r="AF53" i="37"/>
  <c r="AF66" i="37" s="1"/>
  <c r="Y53" i="16"/>
  <c r="Y66" i="16" s="1"/>
  <c r="Y39" i="16"/>
  <c r="S53" i="37"/>
  <c r="S66" i="37" s="1"/>
  <c r="L72" i="16"/>
  <c r="L41" i="16"/>
  <c r="AM54" i="16"/>
  <c r="Y39" i="30"/>
  <c r="Y53" i="30"/>
  <c r="Y66" i="30" s="1"/>
  <c r="L40" i="32"/>
  <c r="L53" i="32"/>
  <c r="L66" i="32" s="1"/>
  <c r="J40" i="37"/>
  <c r="J53" i="37"/>
  <c r="J66" i="37" s="1"/>
  <c r="I72" i="34"/>
  <c r="I41" i="34"/>
  <c r="AM54" i="34"/>
  <c r="I40" i="36"/>
  <c r="I53" i="36"/>
  <c r="I66" i="36" s="1"/>
  <c r="AA40" i="34"/>
  <c r="AA53" i="34"/>
  <c r="AA66" i="34" s="1"/>
  <c r="AM27" i="28"/>
  <c r="E16" i="40" s="1"/>
  <c r="T72" i="34"/>
  <c r="T41" i="34"/>
  <c r="H53" i="31"/>
  <c r="H66" i="31" s="1"/>
  <c r="H39" i="31"/>
  <c r="H72" i="32"/>
  <c r="H41" i="32"/>
  <c r="AM54" i="32"/>
  <c r="AJ72" i="16"/>
  <c r="AJ41" i="16"/>
  <c r="S53" i="29"/>
  <c r="S66" i="29" s="1"/>
  <c r="AM52" i="33"/>
  <c r="AM66" i="33" s="1"/>
  <c r="T72" i="35"/>
  <c r="T41" i="35"/>
  <c r="I68" i="29"/>
  <c r="I69" i="29" s="1"/>
  <c r="I70" i="29" s="1" a="1"/>
  <c r="I70" i="29" s="1"/>
  <c r="S5" i="26" s="1" a="1"/>
  <c r="S5" i="26" s="1"/>
  <c r="AM55" i="29"/>
  <c r="F43" i="40" s="1"/>
  <c r="AB40" i="28"/>
  <c r="AB53" i="28"/>
  <c r="AB66" i="28" s="1"/>
  <c r="AR11" i="26"/>
  <c r="M53" i="30"/>
  <c r="M66" i="30" s="1"/>
  <c r="M72" i="38"/>
  <c r="M41" i="38"/>
  <c r="AM54" i="38"/>
  <c r="M53" i="29"/>
  <c r="M66" i="29" s="1"/>
  <c r="P31" i="40"/>
  <c r="M40" i="16"/>
  <c r="M53" i="16"/>
  <c r="M66" i="16" s="1"/>
  <c r="AD40" i="32"/>
  <c r="AD53" i="32"/>
  <c r="AD66" i="32" s="1"/>
  <c r="AC53" i="30"/>
  <c r="AC66" i="30" s="1"/>
  <c r="U72" i="32"/>
  <c r="U41" i="32"/>
  <c r="AM51" i="28"/>
  <c r="E39" i="40" s="1"/>
  <c r="AG72" i="16"/>
  <c r="AG41" i="16"/>
  <c r="AC40" i="36"/>
  <c r="AC53" i="36"/>
  <c r="AC66" i="36" s="1"/>
  <c r="N53" i="34"/>
  <c r="N66" i="34" s="1"/>
  <c r="AJ72" i="37"/>
  <c r="AJ41" i="37"/>
  <c r="I39" i="37"/>
  <c r="I53" i="37"/>
  <c r="I66" i="37" s="1"/>
  <c r="AM51" i="37"/>
  <c r="N39" i="40" s="1"/>
  <c r="U72" i="31"/>
  <c r="U41" i="31"/>
  <c r="O72" i="37"/>
  <c r="O41" i="37"/>
  <c r="AB27" i="31"/>
  <c r="AB28" i="31"/>
  <c r="AB55" i="31"/>
  <c r="AB68" i="31" s="1"/>
  <c r="AB69" i="31" s="1"/>
  <c r="AB70" i="31" s="1" a="1"/>
  <c r="AB70" i="31" s="1"/>
  <c r="AM52" i="16"/>
  <c r="AM66" i="16" s="1"/>
  <c r="L41" i="37"/>
  <c r="L72" i="37"/>
  <c r="AM54" i="37"/>
  <c r="AG72" i="30"/>
  <c r="AG41" i="30"/>
  <c r="M72" i="35"/>
  <c r="M41" i="35"/>
  <c r="AM54" i="35"/>
  <c r="Q39" i="32"/>
  <c r="Q53" i="32"/>
  <c r="Q66" i="32" s="1"/>
  <c r="AM51" i="32"/>
  <c r="I39" i="40" s="1"/>
  <c r="AM27" i="32"/>
  <c r="I16" i="40" s="1"/>
  <c r="H53" i="30"/>
  <c r="H66" i="30" s="1"/>
  <c r="H39" i="30"/>
  <c r="AM51" i="30"/>
  <c r="G39" i="40" s="1"/>
  <c r="AA41" i="38"/>
  <c r="AA72" i="38"/>
  <c r="H68" i="34"/>
  <c r="H69" i="34" s="1"/>
  <c r="H70" i="34" s="1" a="1"/>
  <c r="H70" i="34" s="1"/>
  <c r="M38" i="26" s="1" a="1"/>
  <c r="M38" i="26" s="1"/>
  <c r="AM55" i="34"/>
  <c r="K43" i="40" s="1"/>
  <c r="T72" i="38"/>
  <c r="T41" i="38"/>
  <c r="W72" i="34"/>
  <c r="W41" i="34"/>
  <c r="I68" i="37"/>
  <c r="I69" i="37" s="1"/>
  <c r="I70" i="37" s="1" a="1"/>
  <c r="I70" i="37" s="1"/>
  <c r="AE38" i="26" s="1" a="1"/>
  <c r="AE38" i="26" s="1"/>
  <c r="AM55" i="37"/>
  <c r="N43" i="40" s="1"/>
  <c r="O72" i="29"/>
  <c r="O41" i="29"/>
  <c r="AM54" i="29"/>
  <c r="T53" i="37"/>
  <c r="T66" i="37" s="1"/>
  <c r="Z72" i="16"/>
  <c r="Z41" i="16"/>
  <c r="AM27" i="29"/>
  <c r="F16" i="40" s="1"/>
  <c r="AB39" i="37"/>
  <c r="AB53" i="37"/>
  <c r="AB66" i="37" s="1"/>
  <c r="J68" i="16"/>
  <c r="J69" i="16" s="1"/>
  <c r="AM55" i="16"/>
  <c r="D43" i="40" s="1"/>
  <c r="S40" i="36"/>
  <c r="S53" i="36"/>
  <c r="S66" i="36" s="1"/>
  <c r="U53" i="28"/>
  <c r="U66" i="28" s="1"/>
  <c r="AM52" i="29"/>
  <c r="AM66" i="29" s="1"/>
  <c r="Z39" i="38"/>
  <c r="Z53" i="38"/>
  <c r="Z66" i="38" s="1"/>
  <c r="L53" i="34"/>
  <c r="L66" i="34" s="1"/>
  <c r="T40" i="33"/>
  <c r="T53" i="33"/>
  <c r="T66" i="33" s="1"/>
  <c r="W40" i="29"/>
  <c r="W53" i="29"/>
  <c r="W66" i="29" s="1"/>
  <c r="AM52" i="34"/>
  <c r="AM66" i="34" s="1"/>
  <c r="AM51" i="29"/>
  <c r="F39" i="40" s="1"/>
  <c r="AB40" i="33"/>
  <c r="AB53" i="33"/>
  <c r="AB66" i="33" s="1"/>
  <c r="H40" i="38"/>
  <c r="AM52" i="38"/>
  <c r="AM66" i="38" s="1"/>
  <c r="R53" i="28"/>
  <c r="R66" i="28" s="1"/>
  <c r="V72" i="29"/>
  <c r="V41" i="29"/>
  <c r="L72" i="30"/>
  <c r="L41" i="30"/>
  <c r="AM54" i="30"/>
  <c r="W40" i="33"/>
  <c r="W53" i="33"/>
  <c r="W66" i="33" s="1"/>
  <c r="W53" i="30"/>
  <c r="W66" i="30" s="1"/>
  <c r="O40" i="36"/>
  <c r="O53" i="36"/>
  <c r="O66" i="36" s="1"/>
  <c r="T53" i="31"/>
  <c r="T66" i="31" s="1"/>
  <c r="Z40" i="34"/>
  <c r="Z53" i="34"/>
  <c r="Z66" i="34" s="1"/>
  <c r="U53" i="35"/>
  <c r="U66" i="35" s="1"/>
  <c r="T40" i="35"/>
  <c r="AM40" i="35" s="1"/>
  <c r="L28" i="40" s="1"/>
  <c r="T53" i="35"/>
  <c r="T66" i="35" s="1"/>
  <c r="I68" i="28"/>
  <c r="I69" i="28" s="1"/>
  <c r="I70" i="28" s="1" a="1"/>
  <c r="I70" i="28" s="1"/>
  <c r="M5" i="26" s="1" a="1"/>
  <c r="M5" i="26" s="1"/>
  <c r="AM55" i="28"/>
  <c r="E43" i="40" s="1"/>
  <c r="AJ53" i="30"/>
  <c r="AJ66" i="30" s="1"/>
  <c r="L5" i="26" l="1" a="1"/>
  <c r="L5" i="26" s="1"/>
  <c r="G40" i="40"/>
  <c r="AM66" i="30"/>
  <c r="G54" i="40" s="1"/>
  <c r="M40" i="40"/>
  <c r="AM66" i="36"/>
  <c r="M54" i="40" s="1"/>
  <c r="N40" i="40"/>
  <c r="AM66" i="37"/>
  <c r="N54" i="40" s="1"/>
  <c r="Z41" i="31"/>
  <c r="AM54" i="31"/>
  <c r="AQ27" i="26" s="1"/>
  <c r="AR27" i="26" s="1"/>
  <c r="K34" i="1"/>
  <c r="L34" i="1"/>
  <c r="E38" i="1"/>
  <c r="AM52" i="31"/>
  <c r="Z53" i="31"/>
  <c r="Z66" i="31" s="1"/>
  <c r="G34" i="43"/>
  <c r="G44" i="43"/>
  <c r="G45" i="43" s="1"/>
  <c r="G44" i="13"/>
  <c r="Z72" i="31"/>
  <c r="AM27" i="31"/>
  <c r="H16" i="40" s="1"/>
  <c r="P16" i="40" s="1"/>
  <c r="AM51" i="31"/>
  <c r="H39" i="40" s="1"/>
  <c r="P39" i="40" s="1"/>
  <c r="J38" i="1" s="1"/>
  <c r="AB53" i="31"/>
  <c r="AB66" i="31" s="1"/>
  <c r="AO54" i="31"/>
  <c r="AO27" i="26" s="1"/>
  <c r="AM39" i="36"/>
  <c r="M27" i="40" s="1"/>
  <c r="AM39" i="35"/>
  <c r="L27" i="40" s="1"/>
  <c r="AM40" i="38"/>
  <c r="O28" i="40" s="1"/>
  <c r="G34" i="13"/>
  <c r="AM39" i="29"/>
  <c r="F27" i="40" s="1"/>
  <c r="AM39" i="28"/>
  <c r="E27" i="40" s="1"/>
  <c r="AM39" i="16"/>
  <c r="D27" i="40" s="1"/>
  <c r="AM39" i="33"/>
  <c r="J27" i="40" s="1"/>
  <c r="AQ29" i="26"/>
  <c r="AR29" i="26" s="1"/>
  <c r="AM39" i="32"/>
  <c r="I27" i="40" s="1"/>
  <c r="X5" i="26" a="1"/>
  <c r="X5" i="26" s="1"/>
  <c r="AM40" i="37"/>
  <c r="N28" i="40" s="1"/>
  <c r="AM39" i="30"/>
  <c r="G27" i="40" s="1"/>
  <c r="AM40" i="29"/>
  <c r="F28" i="40" s="1"/>
  <c r="AM40" i="16"/>
  <c r="D28" i="40" s="1"/>
  <c r="AM40" i="33"/>
  <c r="J28" i="40" s="1"/>
  <c r="F38" i="26" a="1"/>
  <c r="F38" i="26" s="1"/>
  <c r="AM41" i="30"/>
  <c r="G29" i="40" s="1"/>
  <c r="AM41" i="28"/>
  <c r="E29" i="40" s="1"/>
  <c r="AM39" i="31"/>
  <c r="H27" i="40" s="1"/>
  <c r="AM41" i="37"/>
  <c r="N29" i="40" s="1"/>
  <c r="AM40" i="30"/>
  <c r="G28" i="40" s="1"/>
  <c r="AM41" i="36"/>
  <c r="M29" i="40" s="1"/>
  <c r="AM40" i="31"/>
  <c r="H28" i="40" s="1"/>
  <c r="AM41" i="33"/>
  <c r="J29" i="40" s="1"/>
  <c r="AM40" i="34"/>
  <c r="K28" i="40" s="1"/>
  <c r="AM40" i="36"/>
  <c r="M28" i="40" s="1"/>
  <c r="C23" i="30"/>
  <c r="C22" i="30" s="1"/>
  <c r="AM55" i="31"/>
  <c r="H43" i="40" s="1"/>
  <c r="P43" i="40" s="1"/>
  <c r="AM41" i="29"/>
  <c r="F29" i="40" s="1"/>
  <c r="AM41" i="34"/>
  <c r="K29" i="40" s="1"/>
  <c r="AJ5" i="26" a="1"/>
  <c r="AJ5" i="26" s="1"/>
  <c r="AM41" i="35"/>
  <c r="L29" i="40" s="1"/>
  <c r="AM41" i="38"/>
  <c r="O29" i="40" s="1"/>
  <c r="AQ31" i="26"/>
  <c r="AR31" i="26" s="1"/>
  <c r="L42" i="40"/>
  <c r="N42" i="40"/>
  <c r="AQ33" i="26"/>
  <c r="AR33" i="26" s="1"/>
  <c r="AR6" i="26"/>
  <c r="F5" i="26" a="1"/>
  <c r="F5" i="26" s="1"/>
  <c r="AM39" i="34"/>
  <c r="K27" i="40" s="1"/>
  <c r="L74" i="16"/>
  <c r="K75" i="16"/>
  <c r="X38" i="26" a="1"/>
  <c r="X38" i="26" s="1"/>
  <c r="AM53" i="16"/>
  <c r="D41" i="40" s="1"/>
  <c r="AM53" i="32"/>
  <c r="I41" i="40" s="1"/>
  <c r="AB72" i="31"/>
  <c r="AB41" i="31"/>
  <c r="I42" i="40"/>
  <c r="AQ28" i="26"/>
  <c r="AR28" i="26" s="1"/>
  <c r="AM53" i="34"/>
  <c r="K41" i="40" s="1"/>
  <c r="AM40" i="32"/>
  <c r="I28" i="40" s="1"/>
  <c r="AQ24" i="26"/>
  <c r="AR24" i="26" s="1"/>
  <c r="E42" i="40"/>
  <c r="I40" i="40"/>
  <c r="I54" i="40"/>
  <c r="AQ26" i="26"/>
  <c r="AR26" i="26" s="1"/>
  <c r="G42" i="40"/>
  <c r="O40" i="40"/>
  <c r="O54" i="40"/>
  <c r="R5" i="26" a="1"/>
  <c r="R5" i="26" s="1"/>
  <c r="AM53" i="30"/>
  <c r="G41" i="40" s="1"/>
  <c r="AD38" i="26" a="1"/>
  <c r="AD38" i="26" s="1"/>
  <c r="J54" i="40"/>
  <c r="J40" i="40"/>
  <c r="AQ30" i="26"/>
  <c r="AR30" i="26" s="1"/>
  <c r="K42" i="40"/>
  <c r="R38" i="26" a="1"/>
  <c r="R38" i="26" s="1"/>
  <c r="O42" i="40"/>
  <c r="AQ34" i="26"/>
  <c r="AR34" i="26" s="1"/>
  <c r="AM41" i="32"/>
  <c r="I29" i="40" s="1"/>
  <c r="AM53" i="29"/>
  <c r="F41" i="40" s="1"/>
  <c r="D42" i="40"/>
  <c r="AQ23" i="26"/>
  <c r="L38" i="26" a="1"/>
  <c r="L38" i="26" s="1"/>
  <c r="E40" i="40"/>
  <c r="E54" i="40"/>
  <c r="AM53" i="35"/>
  <c r="L41" i="40" s="1"/>
  <c r="AM53" i="36"/>
  <c r="M41" i="40" s="1"/>
  <c r="M42" i="40"/>
  <c r="AQ32" i="26"/>
  <c r="AR32" i="26" s="1"/>
  <c r="D54" i="40"/>
  <c r="D40" i="40"/>
  <c r="AM39" i="37"/>
  <c r="N27" i="40" s="1"/>
  <c r="AJ38" i="26" a="1"/>
  <c r="AJ38" i="26" s="1"/>
  <c r="J70" i="16" a="1"/>
  <c r="AM40" i="28"/>
  <c r="E28" i="40" s="1"/>
  <c r="AM53" i="33"/>
  <c r="J41" i="40" s="1"/>
  <c r="AE5" i="26" a="1"/>
  <c r="AE5" i="26" s="1"/>
  <c r="H40" i="40"/>
  <c r="AM39" i="38"/>
  <c r="O27" i="40" s="1"/>
  <c r="AM53" i="37"/>
  <c r="N41" i="40" s="1"/>
  <c r="K54" i="40"/>
  <c r="K40" i="40"/>
  <c r="F40" i="40"/>
  <c r="F54" i="40"/>
  <c r="F42" i="40"/>
  <c r="AQ25" i="26"/>
  <c r="AR25" i="26" s="1"/>
  <c r="AM41" i="16"/>
  <c r="D29" i="40" s="1"/>
  <c r="L40" i="40"/>
  <c r="L54" i="40"/>
  <c r="AM53" i="28"/>
  <c r="E41" i="40" s="1"/>
  <c r="AM53" i="38"/>
  <c r="O41" i="40" s="1"/>
  <c r="AD5" i="26" l="1" a="1"/>
  <c r="AD5" i="26" s="1"/>
  <c r="AM41" i="31"/>
  <c r="H29" i="40" s="1"/>
  <c r="P29" i="40" s="1"/>
  <c r="H42" i="40"/>
  <c r="P42" i="40" s="1"/>
  <c r="G40" i="1" s="1"/>
  <c r="AM66" i="31"/>
  <c r="H54" i="40" s="1"/>
  <c r="H38" i="1"/>
  <c r="M38" i="1"/>
  <c r="F44" i="13"/>
  <c r="F45" i="13" s="1"/>
  <c r="F44" i="43"/>
  <c r="F45" i="43" s="1"/>
  <c r="F20" i="13"/>
  <c r="AM53" i="31"/>
  <c r="H41" i="40" s="1"/>
  <c r="P41" i="40" s="1"/>
  <c r="J70" i="16"/>
  <c r="G5" i="26" s="1" a="1"/>
  <c r="G5" i="26" s="1"/>
  <c r="H5" i="26" a="1"/>
  <c r="H5" i="26" s="1"/>
  <c r="P28" i="40"/>
  <c r="P27" i="40"/>
  <c r="C23" i="31"/>
  <c r="C22" i="31" s="1"/>
  <c r="G45" i="13"/>
  <c r="AR23" i="26"/>
  <c r="AR35" i="26" s="1"/>
  <c r="AQ35" i="26"/>
  <c r="P40" i="40"/>
  <c r="J39" i="1" s="1"/>
  <c r="M74" i="16"/>
  <c r="L75" i="16"/>
  <c r="H39" i="1" l="1"/>
  <c r="H41" i="1" s="1"/>
  <c r="M39" i="1"/>
  <c r="K39" i="1" s="1"/>
  <c r="K38" i="1"/>
  <c r="J41" i="1"/>
  <c r="E40" i="1"/>
  <c r="M40" i="1"/>
  <c r="G41" i="1"/>
  <c r="F20" i="43"/>
  <c r="C23" i="32"/>
  <c r="C22" i="32" s="1"/>
  <c r="G20" i="43"/>
  <c r="M75" i="16"/>
  <c r="N74" i="16"/>
  <c r="K40" i="1" l="1"/>
  <c r="K41" i="1" s="1"/>
  <c r="F40" i="1"/>
  <c r="E41" i="1"/>
  <c r="M41" i="1"/>
  <c r="G20" i="13"/>
  <c r="C23" i="33"/>
  <c r="C22" i="33" s="1"/>
  <c r="O74" i="16"/>
  <c r="N75" i="16"/>
  <c r="C23" i="34" l="1"/>
  <c r="C22" i="34" s="1"/>
  <c r="O75" i="16"/>
  <c r="P74" i="16"/>
  <c r="C23" i="35" l="1"/>
  <c r="C22" i="35" s="1"/>
  <c r="Q74" i="16"/>
  <c r="P75" i="16"/>
  <c r="C23" i="36" l="1"/>
  <c r="C22" i="36" s="1"/>
  <c r="Q75" i="16"/>
  <c r="R74" i="16"/>
  <c r="C23" i="37" l="1"/>
  <c r="C22" i="37" s="1"/>
  <c r="R75" i="16"/>
  <c r="S74" i="16"/>
  <c r="C23" i="38" l="1"/>
  <c r="C22" i="38" s="1"/>
  <c r="T74" i="16"/>
  <c r="S75" i="16"/>
  <c r="T75" i="16" l="1"/>
  <c r="U74" i="16"/>
  <c r="V74" i="16" l="1"/>
  <c r="U75" i="16"/>
  <c r="V75" i="16" l="1"/>
  <c r="W74" i="16"/>
  <c r="X74" i="16" l="1"/>
  <c r="W75" i="16"/>
  <c r="Y74" i="16" l="1"/>
  <c r="X75" i="16"/>
  <c r="Y75" i="16" l="1"/>
  <c r="Z74" i="16"/>
  <c r="Z75" i="16" l="1"/>
  <c r="AA74" i="16"/>
  <c r="AA75" i="16" l="1"/>
  <c r="AB74" i="16"/>
  <c r="AB75" i="16" l="1"/>
  <c r="AC74" i="16"/>
  <c r="AC75" i="16" l="1"/>
  <c r="AD74" i="16"/>
  <c r="AD75" i="16" l="1"/>
  <c r="AE74" i="16"/>
  <c r="AE75" i="16" l="1"/>
  <c r="AF74" i="16"/>
  <c r="AF75" i="16" l="1"/>
  <c r="AG74" i="16"/>
  <c r="AG75" i="16" l="1"/>
  <c r="AH74" i="16"/>
  <c r="AH75" i="16" l="1"/>
  <c r="AI74" i="16"/>
  <c r="AJ74" i="16" l="1"/>
  <c r="AI75" i="16"/>
  <c r="AK74" i="16" l="1"/>
  <c r="AJ75" i="16"/>
  <c r="AL74" i="16" l="1"/>
  <c r="AK75" i="16"/>
  <c r="AL75" i="16" l="1"/>
  <c r="AM75" i="16" s="1"/>
  <c r="D57" i="40" s="1"/>
  <c r="AM74" i="16"/>
  <c r="C17" i="28" l="1"/>
  <c r="H74" i="28" s="1"/>
  <c r="D56" i="40"/>
  <c r="I74" i="28" l="1"/>
  <c r="H75" i="28"/>
  <c r="J74" i="28" l="1"/>
  <c r="I75" i="28"/>
  <c r="K74" i="28" l="1"/>
  <c r="J75" i="28"/>
  <c r="L74" i="28" l="1"/>
  <c r="K75" i="28"/>
  <c r="M74" i="28" l="1"/>
  <c r="L75" i="28"/>
  <c r="N74" i="28" l="1"/>
  <c r="M75" i="28"/>
  <c r="O74" i="28" l="1"/>
  <c r="N75" i="28"/>
  <c r="P74" i="28" l="1"/>
  <c r="O75" i="28"/>
  <c r="Q74" i="28" l="1"/>
  <c r="P75" i="28"/>
  <c r="R74" i="28" l="1"/>
  <c r="Q75" i="28"/>
  <c r="S74" i="28" l="1"/>
  <c r="R75" i="28"/>
  <c r="T74" i="28" l="1"/>
  <c r="S75" i="28"/>
  <c r="U74" i="28" l="1"/>
  <c r="T75" i="28"/>
  <c r="V74" i="28" l="1"/>
  <c r="U75" i="28"/>
  <c r="W74" i="28" l="1"/>
  <c r="V75" i="28"/>
  <c r="X74" i="28" l="1"/>
  <c r="W75" i="28"/>
  <c r="X75" i="28" l="1"/>
  <c r="Y74" i="28"/>
  <c r="Z74" i="28" l="1"/>
  <c r="Y75" i="28"/>
  <c r="AA74" i="28" l="1"/>
  <c r="Z75" i="28"/>
  <c r="AB74" i="28" l="1"/>
  <c r="AA75" i="28"/>
  <c r="AC74" i="28" l="1"/>
  <c r="AB75" i="28"/>
  <c r="AD74" i="28" l="1"/>
  <c r="AC75" i="28"/>
  <c r="AE74" i="28" l="1"/>
  <c r="AD75" i="28"/>
  <c r="AF74" i="28" l="1"/>
  <c r="AE75" i="28"/>
  <c r="AG74" i="28" l="1"/>
  <c r="AF75" i="28"/>
  <c r="AH74" i="28" l="1"/>
  <c r="AG75" i="28"/>
  <c r="AI74" i="28" l="1"/>
  <c r="AH75" i="28"/>
  <c r="AJ74" i="28" l="1"/>
  <c r="AI75" i="28"/>
  <c r="AK74" i="28" l="1"/>
  <c r="AJ75" i="28"/>
  <c r="AL74" i="28" l="1"/>
  <c r="AK75" i="28"/>
  <c r="AM74" i="28" l="1"/>
  <c r="AL75" i="28"/>
  <c r="AM75" i="28" s="1"/>
  <c r="E57" i="40" s="1"/>
  <c r="C17" i="29" l="1"/>
  <c r="H74" i="29" s="1"/>
  <c r="E56" i="40"/>
  <c r="I74" i="29" l="1"/>
  <c r="H75" i="29"/>
  <c r="J74" i="29" l="1"/>
  <c r="I75" i="29"/>
  <c r="K74" i="29" l="1"/>
  <c r="J75" i="29"/>
  <c r="L74" i="29" l="1"/>
  <c r="K75" i="29"/>
  <c r="M74" i="29" l="1"/>
  <c r="L75" i="29"/>
  <c r="N74" i="29" l="1"/>
  <c r="M75" i="29"/>
  <c r="O74" i="29" l="1"/>
  <c r="N75" i="29"/>
  <c r="P74" i="29" l="1"/>
  <c r="O75" i="29"/>
  <c r="Q74" i="29" l="1"/>
  <c r="P75" i="29"/>
  <c r="R74" i="29" l="1"/>
  <c r="Q75" i="29"/>
  <c r="S74" i="29" l="1"/>
  <c r="R75" i="29"/>
  <c r="T74" i="29" l="1"/>
  <c r="S75" i="29"/>
  <c r="U74" i="29" l="1"/>
  <c r="T75" i="29"/>
  <c r="V74" i="29" l="1"/>
  <c r="U75" i="29"/>
  <c r="W74" i="29" l="1"/>
  <c r="V75" i="29"/>
  <c r="X74" i="29" l="1"/>
  <c r="W75" i="29"/>
  <c r="Y74" i="29" l="1"/>
  <c r="X75" i="29"/>
  <c r="Z74" i="29" l="1"/>
  <c r="Y75" i="29"/>
  <c r="AA74" i="29" l="1"/>
  <c r="Z75" i="29"/>
  <c r="AB74" i="29" l="1"/>
  <c r="AA75" i="29"/>
  <c r="AC74" i="29" l="1"/>
  <c r="AB75" i="29"/>
  <c r="AD74" i="29" l="1"/>
  <c r="AC75" i="29"/>
  <c r="AE74" i="29" l="1"/>
  <c r="AD75" i="29"/>
  <c r="AF74" i="29" l="1"/>
  <c r="AE75" i="29"/>
  <c r="AG74" i="29" l="1"/>
  <c r="AF75" i="29"/>
  <c r="AH74" i="29" l="1"/>
  <c r="AG75" i="29"/>
  <c r="AI74" i="29" l="1"/>
  <c r="AH75" i="29"/>
  <c r="AJ74" i="29" l="1"/>
  <c r="AI75" i="29"/>
  <c r="AK74" i="29" l="1"/>
  <c r="AJ75" i="29"/>
  <c r="AL74" i="29" l="1"/>
  <c r="AK75" i="29"/>
  <c r="AL75" i="29" l="1"/>
  <c r="AM75" i="29" s="1"/>
  <c r="F57" i="40" s="1"/>
  <c r="AM74" i="29"/>
  <c r="C17" i="30" l="1"/>
  <c r="H74" i="30" s="1"/>
  <c r="F56" i="40"/>
  <c r="I74" i="30" l="1"/>
  <c r="H75" i="30"/>
  <c r="J74" i="30" l="1"/>
  <c r="I75" i="30"/>
  <c r="K74" i="30" l="1"/>
  <c r="J75" i="30"/>
  <c r="L74" i="30" l="1"/>
  <c r="K75" i="30"/>
  <c r="M74" i="30" l="1"/>
  <c r="L75" i="30"/>
  <c r="N74" i="30" l="1"/>
  <c r="M75" i="30"/>
  <c r="O74" i="30" l="1"/>
  <c r="N75" i="30"/>
  <c r="P74" i="30" l="1"/>
  <c r="O75" i="30"/>
  <c r="Q74" i="30" l="1"/>
  <c r="P75" i="30"/>
  <c r="R74" i="30" l="1"/>
  <c r="Q75" i="30"/>
  <c r="S74" i="30" l="1"/>
  <c r="R75" i="30"/>
  <c r="T74" i="30" l="1"/>
  <c r="S75" i="30"/>
  <c r="U74" i="30" l="1"/>
  <c r="T75" i="30"/>
  <c r="V74" i="30" l="1"/>
  <c r="U75" i="30"/>
  <c r="W74" i="30" l="1"/>
  <c r="V75" i="30"/>
  <c r="X74" i="30" l="1"/>
  <c r="W75" i="30"/>
  <c r="Y74" i="30" l="1"/>
  <c r="X75" i="30"/>
  <c r="Z74" i="30" l="1"/>
  <c r="Y75" i="30"/>
  <c r="AA74" i="30" l="1"/>
  <c r="Z75" i="30"/>
  <c r="AB74" i="30" l="1"/>
  <c r="AA75" i="30"/>
  <c r="AC74" i="30" l="1"/>
  <c r="AB75" i="30"/>
  <c r="AD74" i="30" l="1"/>
  <c r="AC75" i="30"/>
  <c r="AE74" i="30" l="1"/>
  <c r="AD75" i="30"/>
  <c r="AF74" i="30" l="1"/>
  <c r="AE75" i="30"/>
  <c r="AG74" i="30" l="1"/>
  <c r="AF75" i="30"/>
  <c r="AH74" i="30" l="1"/>
  <c r="AG75" i="30"/>
  <c r="AI74" i="30" l="1"/>
  <c r="AH75" i="30"/>
  <c r="AJ74" i="30" l="1"/>
  <c r="AI75" i="30"/>
  <c r="AK74" i="30" l="1"/>
  <c r="AJ75" i="30"/>
  <c r="AL74" i="30" l="1"/>
  <c r="AK75" i="30"/>
  <c r="AM74" i="30" l="1"/>
  <c r="AL75" i="30"/>
  <c r="AM75" i="30" s="1"/>
  <c r="G57" i="40" s="1"/>
  <c r="C17" i="31" l="1"/>
  <c r="H74" i="31" s="1"/>
  <c r="G56" i="40"/>
  <c r="I74" i="31" l="1"/>
  <c r="H75" i="31"/>
  <c r="J74" i="31" l="1"/>
  <c r="I75" i="31"/>
  <c r="K74" i="31" l="1"/>
  <c r="J75" i="31"/>
  <c r="L74" i="31" l="1"/>
  <c r="K75" i="31"/>
  <c r="M74" i="31" l="1"/>
  <c r="L75" i="31"/>
  <c r="N74" i="31" l="1"/>
  <c r="M75" i="31"/>
  <c r="O74" i="31" l="1"/>
  <c r="N75" i="31"/>
  <c r="P74" i="31" l="1"/>
  <c r="O75" i="31"/>
  <c r="Q74" i="31" l="1"/>
  <c r="P75" i="31"/>
  <c r="R74" i="31" l="1"/>
  <c r="Q75" i="31"/>
  <c r="S74" i="31" l="1"/>
  <c r="R75" i="31"/>
  <c r="T74" i="31" l="1"/>
  <c r="S75" i="31"/>
  <c r="U74" i="31" l="1"/>
  <c r="T75" i="31"/>
  <c r="V74" i="31" l="1"/>
  <c r="U75" i="31"/>
  <c r="W74" i="31" l="1"/>
  <c r="V75" i="31"/>
  <c r="X74" i="31" l="1"/>
  <c r="W75" i="31"/>
  <c r="Y74" i="31" l="1"/>
  <c r="X75" i="31"/>
  <c r="Z74" i="31" l="1"/>
  <c r="Y75" i="31"/>
  <c r="AA74" i="31" l="1"/>
  <c r="Z75" i="31"/>
  <c r="AB74" i="31" l="1"/>
  <c r="AA75" i="31"/>
  <c r="AC74" i="31" l="1"/>
  <c r="AB75" i="31"/>
  <c r="AD74" i="31" l="1"/>
  <c r="AC75" i="31"/>
  <c r="AE74" i="31" l="1"/>
  <c r="AD75" i="31"/>
  <c r="AF74" i="31" l="1"/>
  <c r="AE75" i="31"/>
  <c r="AG74" i="31" l="1"/>
  <c r="AF75" i="31"/>
  <c r="AH74" i="31" l="1"/>
  <c r="AG75" i="31"/>
  <c r="AI74" i="31" l="1"/>
  <c r="AH75" i="31"/>
  <c r="AJ74" i="31" l="1"/>
  <c r="AI75" i="31"/>
  <c r="AK74" i="31" l="1"/>
  <c r="AJ75" i="31"/>
  <c r="AL74" i="31" l="1"/>
  <c r="AK75" i="31"/>
  <c r="AM74" i="31" l="1"/>
  <c r="AL75" i="31"/>
  <c r="AM75" i="31" s="1"/>
  <c r="H57" i="40" s="1"/>
  <c r="C17" i="32" l="1"/>
  <c r="H74" i="32" s="1"/>
  <c r="H56" i="40"/>
  <c r="I74" i="32" l="1"/>
  <c r="H75" i="32"/>
  <c r="J74" i="32" l="1"/>
  <c r="I75" i="32"/>
  <c r="K74" i="32" l="1"/>
  <c r="J75" i="32"/>
  <c r="L74" i="32" l="1"/>
  <c r="K75" i="32"/>
  <c r="M74" i="32" l="1"/>
  <c r="L75" i="32"/>
  <c r="N74" i="32" l="1"/>
  <c r="M75" i="32"/>
  <c r="O74" i="32" l="1"/>
  <c r="N75" i="32"/>
  <c r="P74" i="32" l="1"/>
  <c r="O75" i="32"/>
  <c r="Q74" i="32" l="1"/>
  <c r="P75" i="32"/>
  <c r="R74" i="32" l="1"/>
  <c r="Q75" i="32"/>
  <c r="S74" i="32" l="1"/>
  <c r="R75" i="32"/>
  <c r="T74" i="32" l="1"/>
  <c r="S75" i="32"/>
  <c r="U74" i="32" l="1"/>
  <c r="T75" i="32"/>
  <c r="V74" i="32" l="1"/>
  <c r="U75" i="32"/>
  <c r="W74" i="32" l="1"/>
  <c r="V75" i="32"/>
  <c r="X74" i="32" l="1"/>
  <c r="W75" i="32"/>
  <c r="Y74" i="32" l="1"/>
  <c r="X75" i="32"/>
  <c r="Z74" i="32" l="1"/>
  <c r="Y75" i="32"/>
  <c r="AA74" i="32" l="1"/>
  <c r="Z75" i="32"/>
  <c r="AB74" i="32" l="1"/>
  <c r="AA75" i="32"/>
  <c r="AC74" i="32" l="1"/>
  <c r="AB75" i="32"/>
  <c r="AD74" i="32" l="1"/>
  <c r="AC75" i="32"/>
  <c r="AE74" i="32" l="1"/>
  <c r="AD75" i="32"/>
  <c r="AF74" i="32" l="1"/>
  <c r="AE75" i="32"/>
  <c r="AG74" i="32" l="1"/>
  <c r="AF75" i="32"/>
  <c r="AH74" i="32" l="1"/>
  <c r="AG75" i="32"/>
  <c r="AI74" i="32" l="1"/>
  <c r="AH75" i="32"/>
  <c r="AJ74" i="32" l="1"/>
  <c r="AI75" i="32"/>
  <c r="AK74" i="32" l="1"/>
  <c r="AJ75" i="32"/>
  <c r="AL74" i="32" l="1"/>
  <c r="AK75" i="32"/>
  <c r="AM74" i="32" l="1"/>
  <c r="AL75" i="32"/>
  <c r="AM75" i="32" s="1"/>
  <c r="I57" i="40" s="1"/>
  <c r="I56" i="40" l="1"/>
  <c r="C17" i="33"/>
  <c r="H74" i="33" s="1"/>
  <c r="I74" i="33" l="1"/>
  <c r="H75" i="33"/>
  <c r="J74" i="33" l="1"/>
  <c r="I75" i="33"/>
  <c r="K74" i="33" l="1"/>
  <c r="J75" i="33"/>
  <c r="L74" i="33" l="1"/>
  <c r="K75" i="33"/>
  <c r="M74" i="33" l="1"/>
  <c r="L75" i="33"/>
  <c r="N74" i="33" l="1"/>
  <c r="M75" i="33"/>
  <c r="O74" i="33" l="1"/>
  <c r="N75" i="33"/>
  <c r="P74" i="33" l="1"/>
  <c r="O75" i="33"/>
  <c r="Q74" i="33" l="1"/>
  <c r="P75" i="33"/>
  <c r="R74" i="33" l="1"/>
  <c r="Q75" i="33"/>
  <c r="S74" i="33" l="1"/>
  <c r="R75" i="33"/>
  <c r="T74" i="33" l="1"/>
  <c r="S75" i="33"/>
  <c r="U74" i="33" l="1"/>
  <c r="T75" i="33"/>
  <c r="V74" i="33" l="1"/>
  <c r="U75" i="33"/>
  <c r="W74" i="33" l="1"/>
  <c r="V75" i="33"/>
  <c r="X74" i="33" l="1"/>
  <c r="W75" i="33"/>
  <c r="Y74" i="33" l="1"/>
  <c r="X75" i="33"/>
  <c r="Z74" i="33" l="1"/>
  <c r="Y75" i="33"/>
  <c r="AA74" i="33" l="1"/>
  <c r="Z75" i="33"/>
  <c r="AB74" i="33" l="1"/>
  <c r="AA75" i="33"/>
  <c r="AC74" i="33" l="1"/>
  <c r="AB75" i="33"/>
  <c r="AD74" i="33" l="1"/>
  <c r="AC75" i="33"/>
  <c r="AE74" i="33" l="1"/>
  <c r="AD75" i="33"/>
  <c r="AF74" i="33" l="1"/>
  <c r="AE75" i="33"/>
  <c r="AG74" i="33" l="1"/>
  <c r="AF75" i="33"/>
  <c r="AH74" i="33" l="1"/>
  <c r="AG75" i="33"/>
  <c r="AI74" i="33" l="1"/>
  <c r="AH75" i="33"/>
  <c r="AJ74" i="33" l="1"/>
  <c r="AI75" i="33"/>
  <c r="AK74" i="33" l="1"/>
  <c r="AJ75" i="33"/>
  <c r="AL74" i="33" l="1"/>
  <c r="AK75" i="33"/>
  <c r="AM74" i="33" l="1"/>
  <c r="AL75" i="33"/>
  <c r="AM75" i="33" s="1"/>
  <c r="J57" i="40" s="1"/>
  <c r="C17" i="34" l="1"/>
  <c r="H74" i="34" s="1"/>
  <c r="J56" i="40"/>
  <c r="I74" i="34" l="1"/>
  <c r="H75" i="34"/>
  <c r="J74" i="34" l="1"/>
  <c r="I75" i="34"/>
  <c r="K74" i="34" l="1"/>
  <c r="J75" i="34"/>
  <c r="K75" i="34" l="1"/>
  <c r="L74" i="34"/>
  <c r="M74" i="34" l="1"/>
  <c r="L75" i="34"/>
  <c r="N74" i="34" l="1"/>
  <c r="M75" i="34"/>
  <c r="O74" i="34" l="1"/>
  <c r="N75" i="34"/>
  <c r="P74" i="34" l="1"/>
  <c r="O75" i="34"/>
  <c r="Q74" i="34" l="1"/>
  <c r="P75" i="34"/>
  <c r="R74" i="34" l="1"/>
  <c r="Q75" i="34"/>
  <c r="S74" i="34" l="1"/>
  <c r="R75" i="34"/>
  <c r="T74" i="34" l="1"/>
  <c r="S75" i="34"/>
  <c r="U74" i="34" l="1"/>
  <c r="T75" i="34"/>
  <c r="V74" i="34" l="1"/>
  <c r="U75" i="34"/>
  <c r="V75" i="34" l="1"/>
  <c r="W74" i="34"/>
  <c r="X74" i="34" l="1"/>
  <c r="W75" i="34"/>
  <c r="Y74" i="34" l="1"/>
  <c r="X75" i="34"/>
  <c r="Z74" i="34" l="1"/>
  <c r="Y75" i="34"/>
  <c r="AA74" i="34" l="1"/>
  <c r="Z75" i="34"/>
  <c r="AB74" i="34" l="1"/>
  <c r="AA75" i="34"/>
  <c r="AC74" i="34" l="1"/>
  <c r="AB75" i="34"/>
  <c r="AD74" i="34" l="1"/>
  <c r="AC75" i="34"/>
  <c r="AE74" i="34" l="1"/>
  <c r="AD75" i="34"/>
  <c r="AF74" i="34" l="1"/>
  <c r="AE75" i="34"/>
  <c r="AG74" i="34" l="1"/>
  <c r="AF75" i="34"/>
  <c r="AH74" i="34" l="1"/>
  <c r="AG75" i="34"/>
  <c r="AI74" i="34" l="1"/>
  <c r="AH75" i="34"/>
  <c r="AJ74" i="34" l="1"/>
  <c r="AI75" i="34"/>
  <c r="AK74" i="34" l="1"/>
  <c r="AJ75" i="34"/>
  <c r="AL74" i="34" l="1"/>
  <c r="AK75" i="34"/>
  <c r="AL75" i="34" l="1"/>
  <c r="AM75" i="34" s="1"/>
  <c r="K57" i="40" s="1"/>
  <c r="AM74" i="34"/>
  <c r="C17" i="35" l="1"/>
  <c r="H74" i="35" s="1"/>
  <c r="K56" i="40"/>
  <c r="I74" i="35" l="1"/>
  <c r="H75" i="35"/>
  <c r="J74" i="35" l="1"/>
  <c r="I75" i="35"/>
  <c r="K74" i="35" l="1"/>
  <c r="J75" i="35"/>
  <c r="K75" i="35" l="1"/>
  <c r="L74" i="35"/>
  <c r="M74" i="35" l="1"/>
  <c r="L75" i="35"/>
  <c r="N74" i="35" l="1"/>
  <c r="M75" i="35"/>
  <c r="O74" i="35" l="1"/>
  <c r="N75" i="35"/>
  <c r="O75" i="35" l="1"/>
  <c r="P74" i="35"/>
  <c r="P75" i="35" l="1"/>
  <c r="Q74" i="35"/>
  <c r="R74" i="35" l="1"/>
  <c r="Q75" i="35"/>
  <c r="S74" i="35" l="1"/>
  <c r="R75" i="35"/>
  <c r="T74" i="35" l="1"/>
  <c r="S75" i="35"/>
  <c r="U74" i="35" l="1"/>
  <c r="T75" i="35"/>
  <c r="V74" i="35" l="1"/>
  <c r="U75" i="35"/>
  <c r="W74" i="35" l="1"/>
  <c r="V75" i="35"/>
  <c r="X74" i="35" l="1"/>
  <c r="W75" i="35"/>
  <c r="Y74" i="35" l="1"/>
  <c r="X75" i="35"/>
  <c r="Z74" i="35" l="1"/>
  <c r="Y75" i="35"/>
  <c r="AA74" i="35" l="1"/>
  <c r="Z75" i="35"/>
  <c r="AB74" i="35" l="1"/>
  <c r="AA75" i="35"/>
  <c r="AC74" i="35" l="1"/>
  <c r="AB75" i="35"/>
  <c r="AD74" i="35" l="1"/>
  <c r="AC75" i="35"/>
  <c r="AE74" i="35" l="1"/>
  <c r="AD75" i="35"/>
  <c r="AF74" i="35" l="1"/>
  <c r="AE75" i="35"/>
  <c r="AG74" i="35" l="1"/>
  <c r="AF75" i="35"/>
  <c r="AH74" i="35" l="1"/>
  <c r="AG75" i="35"/>
  <c r="AI74" i="35" l="1"/>
  <c r="AH75" i="35"/>
  <c r="AJ74" i="35" l="1"/>
  <c r="AI75" i="35"/>
  <c r="AK74" i="35" l="1"/>
  <c r="AJ75" i="35"/>
  <c r="AL74" i="35" l="1"/>
  <c r="AK75" i="35"/>
  <c r="AM74" i="35" l="1"/>
  <c r="AL75" i="35"/>
  <c r="AM75" i="35" s="1"/>
  <c r="L57" i="40" s="1"/>
  <c r="C17" i="36" l="1"/>
  <c r="H74" i="36" s="1"/>
  <c r="L56" i="40"/>
  <c r="H75" i="36" l="1"/>
  <c r="I74" i="36"/>
  <c r="J74" i="36" l="1"/>
  <c r="I75" i="36"/>
  <c r="K74" i="36" l="1"/>
  <c r="J75" i="36"/>
  <c r="L74" i="36" l="1"/>
  <c r="K75" i="36"/>
  <c r="M74" i="36" l="1"/>
  <c r="L75" i="36"/>
  <c r="N74" i="36" l="1"/>
  <c r="M75" i="36"/>
  <c r="O74" i="36" l="1"/>
  <c r="N75" i="36"/>
  <c r="P74" i="36" l="1"/>
  <c r="O75" i="36"/>
  <c r="P75" i="36" l="1"/>
  <c r="Q74" i="36"/>
  <c r="Q75" i="36" l="1"/>
  <c r="R74" i="36"/>
  <c r="S74" i="36" l="1"/>
  <c r="R75" i="36"/>
  <c r="S75" i="36" l="1"/>
  <c r="T74" i="36"/>
  <c r="U74" i="36" l="1"/>
  <c r="T75" i="36"/>
  <c r="V74" i="36" l="1"/>
  <c r="U75" i="36"/>
  <c r="W74" i="36" l="1"/>
  <c r="V75" i="36"/>
  <c r="W75" i="36" l="1"/>
  <c r="X74" i="36"/>
  <c r="Y74" i="36" l="1"/>
  <c r="X75" i="36"/>
  <c r="Z74" i="36" l="1"/>
  <c r="Y75" i="36"/>
  <c r="AA74" i="36" l="1"/>
  <c r="Z75" i="36"/>
  <c r="AB74" i="36" l="1"/>
  <c r="AA75" i="36"/>
  <c r="AC74" i="36" l="1"/>
  <c r="AB75" i="36"/>
  <c r="AD74" i="36" l="1"/>
  <c r="AC75" i="36"/>
  <c r="AE74" i="36" l="1"/>
  <c r="AD75" i="36"/>
  <c r="AF74" i="36" l="1"/>
  <c r="AE75" i="36"/>
  <c r="AG74" i="36" l="1"/>
  <c r="AF75" i="36"/>
  <c r="AH74" i="36" l="1"/>
  <c r="AG75" i="36"/>
  <c r="AI74" i="36" l="1"/>
  <c r="AH75" i="36"/>
  <c r="AJ74" i="36" l="1"/>
  <c r="AI75" i="36"/>
  <c r="AK74" i="36" l="1"/>
  <c r="AJ75" i="36"/>
  <c r="AL74" i="36" l="1"/>
  <c r="AK75" i="36"/>
  <c r="AL75" i="36" l="1"/>
  <c r="AM75" i="36" s="1"/>
  <c r="M57" i="40" s="1"/>
  <c r="AM74" i="36"/>
  <c r="C17" i="37" l="1"/>
  <c r="H74" i="37" s="1"/>
  <c r="M56" i="40"/>
  <c r="I74" i="37" l="1"/>
  <c r="H75" i="37"/>
  <c r="J74" i="37" l="1"/>
  <c r="I75" i="37"/>
  <c r="K74" i="37" l="1"/>
  <c r="J75" i="37"/>
  <c r="L74" i="37" l="1"/>
  <c r="K75" i="37"/>
  <c r="M74" i="37" l="1"/>
  <c r="L75" i="37"/>
  <c r="N74" i="37" l="1"/>
  <c r="M75" i="37"/>
  <c r="O74" i="37" l="1"/>
  <c r="N75" i="37"/>
  <c r="P74" i="37" l="1"/>
  <c r="O75" i="37"/>
  <c r="Q74" i="37" l="1"/>
  <c r="P75" i="37"/>
  <c r="R74" i="37" l="1"/>
  <c r="Q75" i="37"/>
  <c r="R75" i="37" l="1"/>
  <c r="S74" i="37"/>
  <c r="T74" i="37" l="1"/>
  <c r="S75" i="37"/>
  <c r="U74" i="37" l="1"/>
  <c r="T75" i="37"/>
  <c r="V74" i="37" l="1"/>
  <c r="U75" i="37"/>
  <c r="V75" i="37" l="1"/>
  <c r="W74" i="37"/>
  <c r="W75" i="37" l="1"/>
  <c r="X74" i="37"/>
  <c r="Y74" i="37" l="1"/>
  <c r="X75" i="37"/>
  <c r="Z74" i="37" l="1"/>
  <c r="Y75" i="37"/>
  <c r="AA74" i="37" l="1"/>
  <c r="Z75" i="37"/>
  <c r="AB74" i="37" l="1"/>
  <c r="AA75" i="37"/>
  <c r="AB75" i="37" l="1"/>
  <c r="AC74" i="37"/>
  <c r="AD74" i="37" l="1"/>
  <c r="AC75" i="37"/>
  <c r="AE74" i="37" l="1"/>
  <c r="AD75" i="37"/>
  <c r="AF74" i="37" l="1"/>
  <c r="AE75" i="37"/>
  <c r="AG74" i="37" l="1"/>
  <c r="AF75" i="37"/>
  <c r="AH74" i="37" l="1"/>
  <c r="AG75" i="37"/>
  <c r="AI74" i="37" l="1"/>
  <c r="AH75" i="37"/>
  <c r="AJ74" i="37" l="1"/>
  <c r="AI75" i="37"/>
  <c r="AK74" i="37" l="1"/>
  <c r="AJ75" i="37"/>
  <c r="AL74" i="37" l="1"/>
  <c r="AK75" i="37"/>
  <c r="AM74" i="37" l="1"/>
  <c r="AL75" i="37"/>
  <c r="AM75" i="37" s="1"/>
  <c r="N57" i="40" s="1"/>
  <c r="N56" i="40" l="1"/>
  <c r="C17" i="38"/>
  <c r="H74" i="38" s="1"/>
  <c r="I74" i="38" l="1"/>
  <c r="H75" i="38"/>
  <c r="J74" i="38" l="1"/>
  <c r="I75" i="38"/>
  <c r="K74" i="38" l="1"/>
  <c r="J75" i="38"/>
  <c r="L74" i="38" l="1"/>
  <c r="K75" i="38"/>
  <c r="M74" i="38" l="1"/>
  <c r="L75" i="38"/>
  <c r="N74" i="38" l="1"/>
  <c r="M75" i="38"/>
  <c r="O74" i="38" l="1"/>
  <c r="N75" i="38"/>
  <c r="P74" i="38" l="1"/>
  <c r="O75" i="38"/>
  <c r="Q74" i="38" l="1"/>
  <c r="P75" i="38"/>
  <c r="R74" i="38" l="1"/>
  <c r="Q75" i="38"/>
  <c r="S74" i="38" l="1"/>
  <c r="R75" i="38"/>
  <c r="T74" i="38" l="1"/>
  <c r="S75" i="38"/>
  <c r="U74" i="38" l="1"/>
  <c r="T75" i="38"/>
  <c r="V74" i="38" l="1"/>
  <c r="U75" i="38"/>
  <c r="W74" i="38" l="1"/>
  <c r="V75" i="38"/>
  <c r="W75" i="38" l="1"/>
  <c r="X74" i="38"/>
  <c r="Y74" i="38" l="1"/>
  <c r="X75" i="38"/>
  <c r="Y75" i="38" l="1"/>
  <c r="Z74" i="38"/>
  <c r="AA74" i="38" l="1"/>
  <c r="Z75" i="38"/>
  <c r="AB74" i="38" l="1"/>
  <c r="AA75" i="38"/>
  <c r="AC74" i="38" l="1"/>
  <c r="AB75" i="38"/>
  <c r="AD74" i="38" l="1"/>
  <c r="AC75" i="38"/>
  <c r="AE74" i="38" l="1"/>
  <c r="AD75" i="38"/>
  <c r="AF74" i="38" l="1"/>
  <c r="AE75" i="38"/>
  <c r="AF75" i="38" l="1"/>
  <c r="AG74" i="38"/>
  <c r="AH74" i="38" l="1"/>
  <c r="AG75" i="38"/>
  <c r="AH75" i="38" l="1"/>
  <c r="AI74" i="38"/>
  <c r="AJ74" i="38" l="1"/>
  <c r="AI75" i="38"/>
  <c r="AK74" i="38" l="1"/>
  <c r="AJ75" i="38"/>
  <c r="AL74" i="38" l="1"/>
  <c r="AK75" i="38"/>
  <c r="AL75" i="38" l="1"/>
  <c r="AM75" i="38" s="1"/>
  <c r="O57" i="40" s="1"/>
  <c r="AM74" i="38"/>
  <c r="O56" i="4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<sst xmlns="http://schemas.openxmlformats.org/spreadsheetml/2006/main" count="1226" uniqueCount="391">
  <si>
    <t>Anspruch</t>
  </si>
  <si>
    <t>Bezug</t>
  </si>
  <si>
    <t>Datum</t>
  </si>
  <si>
    <t>Januar</t>
  </si>
  <si>
    <t>Neujahr</t>
  </si>
  <si>
    <t>Ferien</t>
  </si>
  <si>
    <t>Saldo</t>
  </si>
  <si>
    <t>Monat</t>
  </si>
  <si>
    <t>Ferienregelung</t>
  </si>
  <si>
    <t>Anrecht</t>
  </si>
  <si>
    <t>Alter grösser</t>
  </si>
  <si>
    <t>sonst</t>
  </si>
  <si>
    <t>Tage pro Monat</t>
  </si>
  <si>
    <t>AAnzTage</t>
  </si>
  <si>
    <t>Schaltjahrtag</t>
  </si>
  <si>
    <t>Treueprämie</t>
  </si>
  <si>
    <t>Abwesenheiten</t>
  </si>
  <si>
    <t>Langzeitkonto</t>
  </si>
  <si>
    <t>Kirchgemeinde</t>
  </si>
  <si>
    <t>Jahrgang</t>
  </si>
  <si>
    <t>Guthaben</t>
  </si>
  <si>
    <t>Ort / Datum</t>
  </si>
  <si>
    <t>Tage</t>
  </si>
  <si>
    <t>Achtung: die gelb markierten Felder sind zu ändern, wenn die gesetzlichen Grundlagen ändern.</t>
  </si>
  <si>
    <t>Aus Sicherheitsgründen ist hier die Eingabe nur möglich, wenn der Blattschutz aubgehoben worden ist!</t>
  </si>
  <si>
    <t>von</t>
  </si>
  <si>
    <t>Mutter- / Vaterschaftsurlaub</t>
  </si>
  <si>
    <t>Std.</t>
  </si>
  <si>
    <t>Total Ferienanspruch</t>
  </si>
  <si>
    <t>Die Richtigkeit der obenstehenden Angaben bestätigt:</t>
  </si>
  <si>
    <t>Der Kirchgemeinderat / die Institution bestätigt die Richtigkeit der ausgewiesenen Abwesenheiten:</t>
  </si>
  <si>
    <t>Anspruch gemäss Alter</t>
  </si>
  <si>
    <t>(alle anderen Freitage sind zu beziehen wie Kompensationstage, freier Tag etc.)</t>
  </si>
  <si>
    <t>Bei Übertrag von mehr als 10 Ferientage bitte Beschluss der Anstellungsbehörde beilegen (Ar. 71 Abs. 1 PVP)</t>
  </si>
  <si>
    <t>bei Bezug Datum:</t>
  </si>
  <si>
    <t>Weitere Abwesenheiten</t>
  </si>
  <si>
    <t>Art. 57 PVP</t>
  </si>
  <si>
    <t xml:space="preserve">Kurzurlaub / öffentliches Amt      </t>
  </si>
  <si>
    <t>Militär / Care Team / Zivilschutz</t>
  </si>
  <si>
    <r>
      <t xml:space="preserve">Krankheit / Unfall                       </t>
    </r>
    <r>
      <rPr>
        <sz val="8"/>
        <rFont val="Arial"/>
        <family val="2"/>
      </rPr>
      <t xml:space="preserve">  </t>
    </r>
    <r>
      <rPr>
        <sz val="7"/>
        <rFont val="Arial"/>
        <family val="2"/>
      </rPr>
      <t>1)</t>
    </r>
  </si>
  <si>
    <t>1) Arztzeugnis vorhanden? (Einzureichen spätestens nach dem 5 Arbeitstag gem. Art. 31ff)</t>
  </si>
  <si>
    <t>Email:</t>
  </si>
  <si>
    <t>Alter:</t>
  </si>
  <si>
    <t>Art. 71 und Art. 79ff PVP</t>
  </si>
  <si>
    <t>Datum von - bis</t>
  </si>
  <si>
    <t>Für den Kirchgemeinderat:</t>
  </si>
  <si>
    <t>gelbe Felder bitte ausfüllen</t>
  </si>
  <si>
    <t>in Tagen gemäss Pensum</t>
  </si>
  <si>
    <t>gemäss Alter</t>
  </si>
  <si>
    <t>Unterschrift Pfarrperson:</t>
  </si>
  <si>
    <t>Unterschrift 1</t>
  </si>
  <si>
    <t>mind. 20 Tage gem. Art. 70 Abs. 2 PVP</t>
  </si>
  <si>
    <t xml:space="preserve">max. 10 Tage gem. Art. 71 Abs. 1 PVP </t>
  </si>
  <si>
    <t>Übertrag auf Langzeit-konto</t>
  </si>
  <si>
    <t>Unterschrift 2</t>
  </si>
  <si>
    <t>Sonstiges</t>
  </si>
  <si>
    <t>Stunden</t>
  </si>
  <si>
    <t>Jahrestotal in Std.</t>
  </si>
  <si>
    <t>Arbeitsbereich</t>
  </si>
  <si>
    <t>Berchtoldstag</t>
  </si>
  <si>
    <t>Kommentar</t>
  </si>
  <si>
    <t>bis</t>
  </si>
  <si>
    <t>Regelarbeitstag in Stunden</t>
  </si>
  <si>
    <t>Saldo in</t>
  </si>
  <si>
    <t>Ist-Zeit in</t>
  </si>
  <si>
    <t>Soll-Zeit in</t>
  </si>
  <si>
    <t>Mu-/Vat.</t>
  </si>
  <si>
    <t>KUW</t>
  </si>
  <si>
    <t>Seelsorge</t>
  </si>
  <si>
    <t>Gemeindearbeit</t>
  </si>
  <si>
    <t>Theol. Reflex.</t>
  </si>
  <si>
    <t>Tag.</t>
  </si>
  <si>
    <t>Freizeit</t>
  </si>
  <si>
    <t>Abwesenheitskontrolle Pfarrpersonen</t>
  </si>
  <si>
    <t>Zusätzliche Freitage in Teilzeitstellen</t>
  </si>
  <si>
    <t>in Tagen gem. Pensum</t>
  </si>
  <si>
    <t>in Ganztagen</t>
  </si>
  <si>
    <t>Abwesenh. in Tagen gem. Pensum</t>
  </si>
  <si>
    <t>Anstellung läuft</t>
  </si>
  <si>
    <t>Arbeitszeit aufgeteilt nach Arbeitsgebieten</t>
  </si>
  <si>
    <t>Wochentag</t>
  </si>
  <si>
    <t>Arbeitszeit bei 100%</t>
  </si>
  <si>
    <t>Name des Feier- oder Freitages</t>
  </si>
  <si>
    <t>Karfreitag</t>
  </si>
  <si>
    <t>Ostermontag</t>
  </si>
  <si>
    <t>Auffahrt</t>
  </si>
  <si>
    <t>Pfingstmontag</t>
  </si>
  <si>
    <t>1. August</t>
  </si>
  <si>
    <t>Heiligabend</t>
  </si>
  <si>
    <t>Weihnachten</t>
  </si>
  <si>
    <t>Stephanstag</t>
  </si>
  <si>
    <t>Ostersonntag</t>
  </si>
  <si>
    <t>Pfingsten</t>
  </si>
  <si>
    <t>Silvester</t>
  </si>
  <si>
    <t>Anfang</t>
  </si>
  <si>
    <t>Ende</t>
  </si>
  <si>
    <r>
      <t>Ferienanspruch in Tage pro Kalenderjahr gem. Alter</t>
    </r>
    <r>
      <rPr>
        <sz val="10"/>
        <rFont val="Arial"/>
        <family val="2"/>
      </rPr>
      <t xml:space="preserve"> (Art. 65 PVP).</t>
    </r>
  </si>
  <si>
    <t>Tag</t>
  </si>
  <si>
    <t>Jahr</t>
  </si>
  <si>
    <t>Ferienanspruch</t>
  </si>
  <si>
    <t>in Std.</t>
  </si>
  <si>
    <t>Arbeits-tage in Std.</t>
  </si>
  <si>
    <t>BG</t>
  </si>
  <si>
    <t>Anspr. nach BG</t>
  </si>
  <si>
    <t>Saldo d. Anspr.</t>
  </si>
  <si>
    <t>kum. auf Jahr</t>
  </si>
  <si>
    <t>Anspr. in Std. bei 100%</t>
  </si>
  <si>
    <t>Max Abwesenheit</t>
  </si>
  <si>
    <t>BG in %</t>
  </si>
  <si>
    <t>Übertrag +/-Stunden aus Vormonat</t>
  </si>
  <si>
    <t>in Stunden</t>
  </si>
  <si>
    <t>in Tag. gem. Jahrespens.</t>
  </si>
  <si>
    <t>Administration</t>
  </si>
  <si>
    <t>Abwesenheit in Stunden</t>
  </si>
  <si>
    <r>
      <t xml:space="preserve">Arbeitszeiten nach Uhrzeit, in Fixstunden </t>
    </r>
    <r>
      <rPr>
        <b/>
        <sz val="10"/>
        <color rgb="FFFF0000"/>
        <rFont val="Arial"/>
        <family val="2"/>
      </rPr>
      <t>oder</t>
    </r>
    <r>
      <rPr>
        <b/>
        <sz val="10"/>
        <rFont val="Arial"/>
        <family val="2"/>
      </rPr>
      <t xml:space="preserve"> in Ganztagen</t>
    </r>
  </si>
  <si>
    <t>Fachstelle Personal</t>
  </si>
  <si>
    <t>Altenbergstrasse 66</t>
  </si>
  <si>
    <t>Postfach</t>
  </si>
  <si>
    <t>3000 Bern 22</t>
  </si>
  <si>
    <t>Telefon: 031 340 24 53</t>
  </si>
  <si>
    <t>E-Mail: pep@refbejuso.ch</t>
  </si>
  <si>
    <t>Pfarrperson</t>
  </si>
  <si>
    <t>Anstellungsgrad</t>
  </si>
  <si>
    <t>A10</t>
  </si>
  <si>
    <t>März</t>
  </si>
  <si>
    <t>April</t>
  </si>
  <si>
    <t>Mai</t>
  </si>
  <si>
    <t>Juni</t>
  </si>
  <si>
    <t>Juli</t>
  </si>
  <si>
    <t>Feier- und Freitage</t>
  </si>
  <si>
    <t>Krankheit / Unfall</t>
  </si>
  <si>
    <t>Militär/CT/ZS/J&amp;S</t>
  </si>
  <si>
    <t>Total Abw./ Tag</t>
  </si>
  <si>
    <t>Kurzurlaub / öffentliches Amt</t>
  </si>
  <si>
    <t>Kurzurl./öff. Amt</t>
  </si>
  <si>
    <t>Anspruch gemäss Alter (Formel!)</t>
  </si>
  <si>
    <t>Ganztag</t>
  </si>
  <si>
    <t>Weiterbildung</t>
  </si>
  <si>
    <t>Studienurlaub</t>
  </si>
  <si>
    <t>WB</t>
  </si>
  <si>
    <t>STU</t>
  </si>
  <si>
    <t>F</t>
  </si>
  <si>
    <t>K</t>
  </si>
  <si>
    <t>KU</t>
  </si>
  <si>
    <t>MI</t>
  </si>
  <si>
    <t>MU</t>
  </si>
  <si>
    <t>TRP</t>
  </si>
  <si>
    <t>LZK</t>
  </si>
  <si>
    <t>#8DB4E2</t>
  </si>
  <si>
    <t>#D9D9D9</t>
  </si>
  <si>
    <t>#FCD5B4</t>
  </si>
  <si>
    <t>#CCC0DA</t>
  </si>
  <si>
    <t>#D8E4BC</t>
  </si>
  <si>
    <t>#C4BD97</t>
  </si>
  <si>
    <t>#4BACC6</t>
  </si>
  <si>
    <t>#C5D9F1</t>
  </si>
  <si>
    <t>#DA9694</t>
  </si>
  <si>
    <t>Ostern (Formel)</t>
  </si>
  <si>
    <t>Feld 1</t>
  </si>
  <si>
    <t>Feld 2</t>
  </si>
  <si>
    <t>Februar</t>
  </si>
  <si>
    <t>August</t>
  </si>
  <si>
    <t>September</t>
  </si>
  <si>
    <t>Oktober</t>
  </si>
  <si>
    <t>November</t>
  </si>
  <si>
    <t>Dezember</t>
  </si>
  <si>
    <t>Abwesenheiten in Std.</t>
  </si>
  <si>
    <t>Ferienkorrektur</t>
  </si>
  <si>
    <t>Frei</t>
  </si>
  <si>
    <t xml:space="preserve">Feiertagsanspr. 100% in Std. </t>
  </si>
  <si>
    <t>Teilzeit</t>
  </si>
  <si>
    <t>Anspruch Freitage in Std.</t>
  </si>
  <si>
    <t xml:space="preserve">Anspruch Teilzeittage in Std. </t>
  </si>
  <si>
    <t>Total Frei-/Teilzeit</t>
  </si>
  <si>
    <t>Jan</t>
  </si>
  <si>
    <t>Feb</t>
  </si>
  <si>
    <t>Mär</t>
  </si>
  <si>
    <t>Apr</t>
  </si>
  <si>
    <t>Jun</t>
  </si>
  <si>
    <t>Jul</t>
  </si>
  <si>
    <t>Aug</t>
  </si>
  <si>
    <t>Sep</t>
  </si>
  <si>
    <t>Okt</t>
  </si>
  <si>
    <t>Nov</t>
  </si>
  <si>
    <t>Dez</t>
  </si>
  <si>
    <t>Nicht gearbeitet</t>
  </si>
  <si>
    <t>Feiertagsanspruch gem. Pensum</t>
  </si>
  <si>
    <r>
      <t xml:space="preserve">Krank./Unfall </t>
    </r>
    <r>
      <rPr>
        <sz val="9"/>
        <color rgb="FFFF0000"/>
        <rFont val="Arial"/>
        <family val="2"/>
      </rPr>
      <t>(%)</t>
    </r>
  </si>
  <si>
    <t>Teilzeit-Frei</t>
  </si>
  <si>
    <t>in Fixstd.</t>
  </si>
  <si>
    <r>
      <t xml:space="preserve">Ferienguthaben </t>
    </r>
    <r>
      <rPr>
        <sz val="8"/>
        <rFont val="Arial"/>
        <family val="2"/>
      </rPr>
      <t>(Ende Monat)</t>
    </r>
  </si>
  <si>
    <t>Feiertagsanspr. gem. Pens.</t>
  </si>
  <si>
    <t>Nur die gelben Felder können bearbeitet werden.</t>
  </si>
  <si>
    <r>
      <t xml:space="preserve">Ferien </t>
    </r>
    <r>
      <rPr>
        <sz val="9"/>
        <rFont val="Arial"/>
        <family val="2"/>
      </rPr>
      <t>(in Tagen gemäss Pensum)</t>
    </r>
  </si>
  <si>
    <t>Saldo per 31.12.</t>
  </si>
  <si>
    <t>Langzeitkonto in Std.</t>
  </si>
  <si>
    <t>Tage BG effektiv</t>
  </si>
  <si>
    <t>Komp. Anspruch für Abwesenheitstabelle</t>
  </si>
  <si>
    <t>Kompanspruch verkettet</t>
  </si>
  <si>
    <t>(Arbeit an Sonn- u. Feiertagen, Art. 73 PVP)</t>
  </si>
  <si>
    <t xml:space="preserve">Militär / Zivilschutz / CareTeam / J&amp;S </t>
  </si>
  <si>
    <t>Total</t>
  </si>
  <si>
    <t xml:space="preserve">Gearbeitet in Std. </t>
  </si>
  <si>
    <t>Unbezahlter Urlaub / keine Anstellung</t>
  </si>
  <si>
    <r>
      <t xml:space="preserve">in Tagen </t>
    </r>
    <r>
      <rPr>
        <sz val="9"/>
        <rFont val="Arial"/>
        <family val="2"/>
      </rPr>
      <t>gem. Pensum</t>
    </r>
  </si>
  <si>
    <t>Krank./Unfall (%)</t>
  </si>
  <si>
    <t>! Kompensationstage</t>
  </si>
  <si>
    <t>Ostern</t>
  </si>
  <si>
    <t>National-feiertag</t>
  </si>
  <si>
    <t>Heilig-abend</t>
  </si>
  <si>
    <t>Weih-nachten</t>
  </si>
  <si>
    <t>Stephans-tag</t>
  </si>
  <si>
    <r>
      <t xml:space="preserve">Guth. Langzeitkt. </t>
    </r>
    <r>
      <rPr>
        <sz val="8"/>
        <rFont val="Arial"/>
        <family val="2"/>
      </rPr>
      <t>(Ende Monat)</t>
    </r>
  </si>
  <si>
    <t>Jahrestotal in Ganztage</t>
  </si>
  <si>
    <t>LIES MICH</t>
  </si>
  <si>
    <t>Felder können nicht bearbeitet werden.</t>
  </si>
  <si>
    <t>Max. Anzahl Abwesenheiten pro Tag beschränkt auf</t>
  </si>
  <si>
    <t>Musterhausen</t>
  </si>
  <si>
    <t>Abwesenheit und Ansp. Kompensation in Stunden</t>
  </si>
  <si>
    <t>Anspr. Komp.</t>
  </si>
  <si>
    <t>Anspruch. Komp</t>
  </si>
  <si>
    <t>ÜBER DIESES TOOL</t>
  </si>
  <si>
    <t>Gemäss Art. 57 der Personalverordnung Pfarrschaft (PVP KES 41.011) erfassen Pfarrpersonen keine Arbeitszeiten, sondern nur ihre Abwesenheiten.</t>
  </si>
  <si>
    <t>ANLEITUNG - Eingabe der Daten</t>
  </si>
  <si>
    <t>Ferienkorrektur in Std. (Kürzung bei Krankheit)</t>
  </si>
  <si>
    <t>Beschäftigungsgrad im Jahresverlauf</t>
  </si>
  <si>
    <r>
      <t xml:space="preserve">Ferienanspruch </t>
    </r>
    <r>
      <rPr>
        <sz val="9"/>
        <rFont val="Arial"/>
        <family val="2"/>
      </rPr>
      <t>(Art. 65 ff PVP)</t>
    </r>
  </si>
  <si>
    <r>
      <rPr>
        <b/>
        <sz val="10"/>
        <rFont val="Arial"/>
        <family val="2"/>
      </rPr>
      <t>Kompensationstage</t>
    </r>
    <r>
      <rPr>
        <sz val="10"/>
        <rFont val="Arial"/>
        <family val="2"/>
      </rPr>
      <t xml:space="preserve">         </t>
    </r>
    <r>
      <rPr>
        <sz val="9"/>
        <rFont val="Arial"/>
        <family val="2"/>
      </rPr>
      <t>(Arbeit an Sonn- u. Feiertagen, Art. 73 PVP)</t>
    </r>
  </si>
  <si>
    <t xml:space="preserve">Der Beschäftigungsgrad im Jahresverlauf kann angepasst werden. Der Ferienanspruch und die zu leistende Sollarbeitszeit wird dadurch automatisch berechnet.  </t>
  </si>
  <si>
    <t>Anteil in Prozent</t>
  </si>
  <si>
    <t>WEITERFÜHRENDE INFORMATIONEN</t>
  </si>
  <si>
    <t>Heinz Muster</t>
  </si>
  <si>
    <t>Beschäftigungsgrad im Jahresverlauf *</t>
  </si>
  <si>
    <t>Kirchgemeinde *</t>
  </si>
  <si>
    <t>Pfarrer/in *</t>
  </si>
  <si>
    <t>Jahrgang *</t>
  </si>
  <si>
    <t xml:space="preserve"> - Ausgefüllt werden können die gelb und die grau hinterlegten Felder. </t>
  </si>
  <si>
    <t>2. Schritt: Blatt "Arbeitsbereiche" ausfüllen (fakultativ)</t>
  </si>
  <si>
    <t xml:space="preserve">Bis zu 12 Arbeitsbereiche bzw.Projekte können festgelegt werden. Danach kann geleistete Arbeit in den Monatsblättern forlaufend den definierten Bereichen zugewiesen werden. Nicht zugewiesene Zeit wird automatisch im Bereich "Sonstiges" verbucht. </t>
  </si>
  <si>
    <r>
      <t xml:space="preserve">in Ganztagen </t>
    </r>
    <r>
      <rPr>
        <sz val="7.5"/>
        <rFont val="Arial"/>
        <family val="2"/>
      </rPr>
      <t>gem. Stebe</t>
    </r>
  </si>
  <si>
    <t>3. Schritt: "Monatsblätter" ausfüllen</t>
  </si>
  <si>
    <t xml:space="preserve">Sobald Ende Jahr alle Daten erfasst sind, kann das "Deckblatt light" für refbejuso finalisiert werden. Die allermeisten Werte werden direkt aus den Monatsblättern übernommen. Es müssen nur noch die gelb hinterlegten Felder ausgefüllt werden. </t>
  </si>
  <si>
    <t xml:space="preserve">      - Die erfasste Zeit ist grösser als 8,4 aber nicht grösser als 10 Stunden.</t>
  </si>
  <si>
    <t xml:space="preserve">      - Die erfasste Zeit ist nicht grösser als 8,4 Stunden.  </t>
  </si>
  <si>
    <t xml:space="preserve">      - Die erfasste Zeit ist grösser als 10 aber nicht grösser als 12 Stunden.</t>
  </si>
  <si>
    <t xml:space="preserve">      - Die erfasste Zeit ist grösser als 12 Stunden.</t>
  </si>
  <si>
    <t xml:space="preserve"> - Ist-Zeit - Bedeutung der Symbole (Hilfe für Falsch- oder Doppeleingabe)</t>
  </si>
  <si>
    <t xml:space="preserve"> - Erfassung geleisteter Arbeit</t>
  </si>
  <si>
    <t xml:space="preserve">Die maximale Abwesenheit pro Tag (Soll-Zeit) kann nicht überschritten werden. </t>
  </si>
  <si>
    <t xml:space="preserve">Die Erfassung ist nach Uhrzeit, in Fixstunden oder in Ganztagen möglich. </t>
  </si>
  <si>
    <t>Dienste an Sonn- und Feiertagen werden entsprechend als Kompensation (Art. 73 PVP) ausgewiesen. Eine übersichtliche Darstellung findet sich auf dem Blatt "Auswertung". Den Saldo ist auch auf dem "Deckblatt" ersichtlich.</t>
  </si>
  <si>
    <t>Alle Informationen zu den Abwesenheiten werden bei der Eingabe im Feld angezeigt.</t>
  </si>
  <si>
    <r>
      <rPr>
        <b/>
        <sz val="11"/>
        <rFont val="Arial"/>
        <family val="2"/>
      </rPr>
      <t>Achtung:</t>
    </r>
    <r>
      <rPr>
        <sz val="11"/>
        <rFont val="Arial"/>
        <family val="2"/>
      </rPr>
      <t xml:space="preserve"> Die angegebenen Datumswerte dürfen sich nicht überschneiden! </t>
    </r>
  </si>
  <si>
    <t xml:space="preserve"> - Beim      -Icon finden Sie weiterführende Infos.      </t>
  </si>
  <si>
    <t>Ansp. Komp. in Ganztg.</t>
  </si>
  <si>
    <t>1. Schritt: "Deckblatt" ausfüllen</t>
  </si>
  <si>
    <t xml:space="preserve">Pro Tag kann die Ist-Zeit nach Uhrzeit, in Fixstunden oder in Ganztagen erfasst werden. Auch eine Kombination ist möglich. Sonntagsdienste werden fortlaufend in der Tabelle erfasst (nicht mehr separat). Die Ist-Zeit wird bei der zu leistenden Soll-Zeit direkt in Abzug gebracht. </t>
  </si>
  <si>
    <t xml:space="preserve"> - Erfassung von Abwesenheiten (Ferien, Krankheit, Kurzurlaub, Militär, etc.)</t>
  </si>
  <si>
    <t>4. Schritt: "Deckblatt light" ausfüllen (Ende Jahr)</t>
  </si>
  <si>
    <t>Max Abwesenheit WB</t>
  </si>
  <si>
    <r>
      <rPr>
        <b/>
        <i/>
        <sz val="11"/>
        <rFont val="Arial"/>
        <family val="2"/>
      </rPr>
      <t>Unbezahlter Urlaub</t>
    </r>
    <r>
      <rPr>
        <sz val="11"/>
        <rFont val="Arial"/>
        <family val="2"/>
      </rPr>
      <t xml:space="preserve"> kann mit einer vorübergehender 0%-Anstellung abgebildet werden. Der Ferienanspruch wird entsprechend gekürzt. </t>
    </r>
  </si>
  <si>
    <t>Auszuweisen gegenüber der vorgesetzten Stelle (Kirchgemeinderat) sind aufgrund den gesetzlichen Bestimmungen in einer regulären Arbeitswoche der freie Werktag sowie die allfälligen zusätzlichen Teilzeit-Freitage. Darüberhinaus ist Sonn- und Feiertagsdienst zu erfassen, damit dieser anschliessend wiederum als Freizeit kompensiert und entsprechend ausgewiesen werden kann.</t>
  </si>
  <si>
    <t>Abwesenheiten sind nur bei den hellgrau bzw. weiss hinterlegten Feldern möglich.</t>
  </si>
  <si>
    <t>GESETZLICHE VORGABEN UND PRAXIS</t>
  </si>
  <si>
    <t>Damit das Tool funktioniert, müssen die mit *-markierten Felder zwingend ausgefüllt werden. Namentlich sind dies "Kirchgemeinde", "Pfarrer/in"; "Jahrgang" und "Beschäftigungsgrad im Jahresverlauf". Wenn Sie Ihr Guthaben des Langzeitkontos kennen und/oder im aktuellen Jahr eine Treueprämie erhalten haben, können Sie auch diese hier eintragen. Ebenfalls auf dieser Seite kann eine Ferienkorrektur vorgenommen werden.</t>
  </si>
  <si>
    <t>Abwesenheit in Std. mit Bezeichnung für Auswertung</t>
  </si>
  <si>
    <t>Übrige Abw.</t>
  </si>
  <si>
    <t>in Ganztag.</t>
  </si>
  <si>
    <t>Ansp. Komp. in Ganztag.</t>
  </si>
  <si>
    <t>Abwesenheit in Stdunden mit Bezeichnung</t>
  </si>
  <si>
    <t>FREI</t>
  </si>
  <si>
    <r>
      <t xml:space="preserve"> - Auf dem Blatt </t>
    </r>
    <r>
      <rPr>
        <b/>
        <sz val="11"/>
        <rFont val="Arial"/>
        <family val="2"/>
      </rPr>
      <t>"Zusammenzug"</t>
    </r>
    <r>
      <rPr>
        <sz val="11"/>
        <rFont val="Arial"/>
        <family val="2"/>
      </rPr>
      <t xml:space="preserve"> finden Sie eine Zusammenstellung aller Werte, welche übers Jahr in den einzelnen Monaten eingegeben wurden.</t>
    </r>
  </si>
  <si>
    <r>
      <t xml:space="preserve"> - Auf dem Blatt </t>
    </r>
    <r>
      <rPr>
        <b/>
        <sz val="11"/>
        <rFont val="Arial"/>
        <family val="2"/>
      </rPr>
      <t>"Auswertung"</t>
    </r>
    <r>
      <rPr>
        <sz val="11"/>
        <rFont val="Arial"/>
        <family val="2"/>
      </rPr>
      <t xml:space="preserve"> finden Sie eine grafische Darstellung aller Abwesenheiten und der ausgewiesenen Dieneste an Sonn- und Feiertagen. </t>
    </r>
  </si>
  <si>
    <r>
      <t xml:space="preserve"> - Auf dem </t>
    </r>
    <r>
      <rPr>
        <b/>
        <sz val="11"/>
        <rFont val="Arial"/>
        <family val="2"/>
      </rPr>
      <t>"Deckblatt"</t>
    </r>
    <r>
      <rPr>
        <sz val="11"/>
        <rFont val="Arial"/>
        <family val="2"/>
      </rPr>
      <t xml:space="preserve"> finden Sie den Saldo Ihrer Freizeit-Abwesenheit.</t>
    </r>
  </si>
  <si>
    <t>Ferien werden immer gemäss Pensum für die ganze Ferienzeit (also 5 Werktage pro Woche) eingetragen.</t>
  </si>
  <si>
    <t xml:space="preserve"> - Alle numerischen Werte werden mit Komma (z.B. 0,5), Uhrzeiten mit Doppelpunkt (z.B. 08:00) eingegeben.</t>
  </si>
  <si>
    <t>10.10.2023/ Simon Zwygart</t>
  </si>
  <si>
    <r>
      <t xml:space="preserve">Dieses Tool bietet nun die erwähnten Möglichkeiten: </t>
    </r>
    <r>
      <rPr>
        <b/>
        <sz val="11"/>
        <rFont val="Arial"/>
        <family val="2"/>
      </rPr>
      <t>Erfasst wird die Arbeitszeit, welche anschliessend automatisch in Abwesenheit umgerechnet wird, so dass wir den gesetzlichen Vorgaben entsprechen.</t>
    </r>
    <r>
      <rPr>
        <sz val="11"/>
        <rFont val="Arial"/>
        <family val="2"/>
      </rPr>
      <t xml:space="preserve"> Dieses Tool ersetzt in diesem Sinne die frühere Abwesenheitskontrolle und auch die verschiedenen Tabellen zur Arbeitszeiterfassung. Auf der Grundlage der Personalverordnung Pfarrschaft (Art. 57) erfasst es die zu leistenden Arbeitstage unter Berücksichtigung der dienstfreien Feiertage, wie sie Refbejuso analog zum Kanton gewährt. Da Pfarrpersonen gemäss den geltenden gesetzlichen Regelungen keine Vertrauensarbeitszeit kennen, wird wie beim Kanton Bern und auch bei Refbejuso üblich von einer Tagessollzeit von 8,4 Stunden ausgegangen. Ausgehend von der Sollzeit ist nun eine fortlaufende Zeitkontrolle möglich, auf deren Grundlage schliesslich die von Refbejuso geforderten Abwesenheiten einfach ausgewiesen werden können. </t>
    </r>
  </si>
  <si>
    <r>
      <rPr>
        <b/>
        <sz val="11"/>
        <rFont val="Arial"/>
        <family val="2"/>
      </rPr>
      <t>Es gilt zu beachten, dass es im Pfarramt nicht immer ganz eindeutig und einfach ist, die Arbeitszeit zu erfassen. Orientierungspunkt sind die im Stellenbeschrieb vorgesehenen Leistungen und deren Zeitbudget.</t>
    </r>
    <r>
      <rPr>
        <sz val="11"/>
        <rFont val="Arial"/>
        <family val="2"/>
      </rPr>
      <t xml:space="preserve"> Mit der Möglichkeit der Zuordnung von Arbeitszeiten zu bestimmten Arbeitsgebieten oder spezifischen Aufgaben können nicht nur Arbeitsaufwände erfasst und ausgewiesen werden, sondern auch grösseren Abweichungen gegenüber dem Stellenbeschrieb. Diese können bei Bedarf am MAG thematisiert werden. </t>
    </r>
  </si>
  <si>
    <r>
      <rPr>
        <b/>
        <sz val="11"/>
        <rFont val="Arial"/>
        <family val="2"/>
      </rPr>
      <t>Auf Sonn- und Feiertage sollten grundsätzlich nur die in der Jahresplanung vorgesehene Dienste fallen (Gottesdienste, besondere Anlässe, Lagertage). Die übrige Arbeit (inkl. Gottesdienstvorbereitung) ist an den 6 Werktagen zu verrichten.</t>
    </r>
    <r>
      <rPr>
        <sz val="11"/>
        <rFont val="Arial"/>
        <family val="2"/>
      </rPr>
      <t xml:space="preserve"> Daher gilt weiterhin der alte Richtwert, dass ein Gottesdienst am Sonn- oder Feiertag mit  0,25 Tage resp. 2,1 Stunden zu erfassen ist. Wichtiger Hinweis: Die Sonn- und Feiertagsarbeit wird in derselben Tabelle wie die andern Arbeitstage erfasst. </t>
    </r>
  </si>
  <si>
    <t>Mit der Einführung der "Abwesenheiterfassung light" durch Refbejuso und der damit verbundenen Abschaffung des bisherigen Abwesenheitserfassungs-Tool fehlte der Pfarrschaft  die Möglichkeit, die Abwesenheiten im obenstehenden Sinne zu erfassen und diese transparent auszuweisen. Viele Pfarrpersonen erfassten bereits seit längerer Zeit (trotz oben beschriebener gesetzlicher Regelung) zwecks Selbstkontrolle und Transparenz gegenüber den Behörden (Kirchgemeinderat und Refbejuso) die geleistete Arbeitszeit. Mehrfach wurde der Wunsch geäussert, ein geeignetes Tool zu haben, um die An-/Abwesenheit zu erfassen und auszuweisen.</t>
  </si>
  <si>
    <t>LISEZ MOI</t>
  </si>
  <si>
    <t>DISPOSITIONS LÉGALES ET PRATIQUE</t>
  </si>
  <si>
    <t>Selon l'art. 57 de l'ordonnance du personnel pour le corps pastoral (OPCP RLE 41.011), les pasteur·es n'enregistrent pas leurs heures de travail, mais uniquement leurs absences.</t>
  </si>
  <si>
    <t>Conformément aux dispositions légales, il convient d'indiquer à l'instance supérieure (conseil de paroisse), dans une semaine de travail régulière, le jour ouvrable de congé ainsi que les éventuels jours de congé supplémentaires à temps partiel. En outre, le service du dimanche et des jours fériés doit être saisi afin qu'il puisse ensuite être compensé comme temps libre et indiqué en conséquence.</t>
  </si>
  <si>
    <t>Eine Arbeitswoche besteht grundsätzlich aus fünf Arbeitstagen (PVP KES 41.011, Art. 73), einem freien Werktag und dem freien Sonntag. Hinzu kommen die Feiertags- und Sonntagsdienste, welche kompensationsberechtigt sind. Bei Teilzeitstellen wird zusätzliche Freizeit in Form von zusätzlichen freien Tagen ("Teilzeit-Tagen") bezogen. Bei einer 45%-Anstellung besteht eine Arbeitswoche im Durchschnitt aus 2,25 Arbeitstagen, 2,75 Teilzeittagen, einem freien Werktag und dem freien Sonntag.</t>
  </si>
  <si>
    <t>Une semaine de travail se compose en principe de cinq jours ouvrables (OPCP RLE 41.011, art. 73), d'un jour ouvrable de congé et du dimanche de congé. S'y ajoutent les jours fériés et les dimanches de service qui donnent droit à des compensations. Pour les postes à temps partiel, le temps libre supplémentaire est pris sous la forme de jours de congé supplémentaires ("jours à temps partiel"). Par exemple, pour un emploi à 45%, une semaine de travail comprend en moyenne 2,25 jours de travail, 2,75 jours à temps partiel, un jour ouvrable de congé et le dimanche de congé.</t>
  </si>
  <si>
    <t>À PROPOS DE CET OUTIL</t>
  </si>
  <si>
    <t>Avec l'introduction de la "saisie des absences light" par Refbejuso et la suppression de l'outil de saisie des absences qui en découle, le corps pastoral n'avait plus la possibilité de saisir les absences dans le sens indiqué ci-dessus et de les indiquer de manière transparente. De nombreux/ses pasteur·es saisissaient déjà depuis longtemps (malgré la réglementation légale décrite ci-dessus) des absences à des fins d'autocontrôle et de transparence vis-à-vis des autorités.
Le souhait a été exprimé à plusieurs reprises de disposer d'un outil approprié pour saisir et indiquer les présences/absences.</t>
  </si>
  <si>
    <r>
      <t>Cet outil offre désormais les possibilités mentionnées:</t>
    </r>
    <r>
      <rPr>
        <b/>
        <sz val="11"/>
        <rFont val="Arial"/>
        <family val="2"/>
      </rPr>
      <t xml:space="preserve"> il permet de saisir le temps de travail, qui est ensuite automatiquement converti en absences, de sorte que nous soyons en conformité avec les dispositions légales.</t>
    </r>
    <r>
      <rPr>
        <sz val="11"/>
        <rFont val="Arial"/>
        <family val="2"/>
      </rPr>
      <t xml:space="preserve"> En ce sens, cet outil remplace l'ancien contrôle des absences et les différents tableaux de saisie du temps de travail. Sur la base de l'ordonnance du personnel pour le corps pastoral (art. 57), il enregistre les jours de travail à effectuer en tenant compte des jours fériés sans service, comme Refbejuso l'accorde par analogie à la pratique en vigueur dans l’administration cantonale bernoise. Comme les pasteur·es ne connaissent pas de temps de travail fondé sur la confiance selon les dispositions légales en vigueur, on part d'une durée théorique de 8,4 heures par jour, comme c'est le cas dans l’administration cantonale bernoise et chez Refbejuso. A partir de ce temps de travail théorique, il est possible d'effectuer un contrôle continu du temps de travail, sur la base duquel les absences dont la saisie est exigée par Refbejuso peuvent être facilement identifiées. </t>
    </r>
  </si>
  <si>
    <r>
      <t>Il convient de noter que dans le ministère pastoral, il n'est pas toujours évident de saisir le temps de travail. Les points de repère sont les prestations prévues dans la description de poste et leur budget temps.</t>
    </r>
    <r>
      <rPr>
        <sz val="11"/>
        <rFont val="Arial"/>
        <family val="2"/>
      </rPr>
      <t xml:space="preserve"> La possibilité d'attribuer des temps de travail à certains domaines d'activité ou à des tâches spécifiques permet non seulement de saisir et d'indiquer les charges de travail, mais aussi les écarts importants par rapport à la description de poste. Ceux-ci peuvent être thématisé lors de l’EAD si nécessaire.</t>
    </r>
  </si>
  <si>
    <t>INSTRUCTIONS - SAISIE DES DONNÉES</t>
  </si>
  <si>
    <t xml:space="preserve"> - Les champs en jaune et en gris peuvent être remplis. </t>
  </si>
  <si>
    <t xml:space="preserve"> - Toutes les valeurs numériques sont saisies avec une virgule (p. ex. 0,5), les heures avec deux points (p. ex. 08:00).</t>
  </si>
  <si>
    <t xml:space="preserve"> - L'icône       donne des informations complémentaires (en allemand uniquement).</t>
  </si>
  <si>
    <t>Pour que l'outil fonctionne, les champs marqués d'un * doivent obligatoirement être remplis. Il s'agit notamment des champs "Paroisse" (Kirchgemeinde), "Pasteur·e" (Pfarrer/in), "Année de naissance" (Jahrgang) et "Taux d'occupation au cours de l'année" (Beschäftigungsgrad im Jahresverlauf). Si vous connaissez le solde de votre compte à long terme et/ou si vous avez reçu une prime de fidélité durant l'année en cours, vous pouvez également l'inscrire ici. C'est également sur cette page que vous pouvez effectuer une correction des vacances.</t>
  </si>
  <si>
    <t>Il est possible de définir jusqu'à 12 domaines de travail ou projets. Le travail effectué peut ensuite être attribué aux domaines définis dans les feuilles mensuelles. Le temps non attribué est automatiquement enregistré dans le domaine "Autres".</t>
  </si>
  <si>
    <t>1ère étape: remplir la "page de garde" (Deckblatt)</t>
  </si>
  <si>
    <t xml:space="preserve">Pour chaque jour, le temps réel peut être saisi par heure, en heures fixes ou en journées complètes. Une combinaison est également possible. Les services du dimanche sont saisis en continu dans le tableau (et non plus séparément). Le temps réel est directement déduit du temps théorique à effectuer. </t>
  </si>
  <si>
    <r>
      <rPr>
        <u/>
        <sz val="11"/>
        <color rgb="FFFF0000"/>
        <rFont val="Arial"/>
        <family val="2"/>
      </rPr>
      <t>Important</t>
    </r>
    <r>
      <rPr>
        <sz val="11"/>
        <color rgb="FFFF0000"/>
        <rFont val="Arial"/>
        <family val="2"/>
      </rPr>
      <t xml:space="preserve"> : les absences (vacances, maladie, congé de courte durée, service militaire, etc.) sont saisies en jours selon la charge de travail. L'absence effective est calculée automatiquement sur la base de la charge de travail en cours.</t>
    </r>
    <r>
      <rPr>
        <sz val="11"/>
        <rFont val="Arial"/>
        <family val="2"/>
      </rPr>
      <t xml:space="preserve"> (Le crédit de vacances est de 25, 28 ou 33 jours par an, indépendamment du taux d'occupation. Pour une semaine de vacances, il faut donc toujours prendre 5 jours de vacances, indépendamment du taux d'occupation. En cas d'engagement à temps partiel, il n'est plus nécessaire de prendre des jours à temps partiel --&gt;nouveauté par rapport à l'ancien tableau de saisie des absences !)</t>
    </r>
  </si>
  <si>
    <r>
      <rPr>
        <u/>
        <sz val="11"/>
        <color rgb="FFFF0000"/>
        <rFont val="Arial"/>
        <family val="2"/>
      </rPr>
      <t>Wichtig</t>
    </r>
    <r>
      <rPr>
        <sz val="11"/>
        <color rgb="FFFF0000"/>
        <rFont val="Arial"/>
        <family val="2"/>
      </rPr>
      <t>: Die Abwesenheiten (Ferien, Krankheit, Kurzurlaub, Militär etc.) werden in Tagen gem. Pensum eingetragen. Die effektive Abwesenheit wird aufgrund des laufenden Pensums automatisch berechnet.</t>
    </r>
    <r>
      <rPr>
        <sz val="11"/>
        <rFont val="Arial"/>
        <family val="2"/>
      </rPr>
      <t xml:space="preserve"> (Das Ferienguthaben beträgt unabhängig vom Pensum 25, 28 oder 33 Tage pro Jahr. Für eine Ferienwoche sind unabhängig des Pensums also immer 5 Ferientage zu beziehen. Bei Teilzeitanstellungen müssen keine Teilzeittage mehr bezogen werden --&gt;Neuerung gegenüber der alten Abwesenheitserfassungstabelle!)</t>
    </r>
  </si>
  <si>
    <r>
      <t xml:space="preserve"> - Sur la </t>
    </r>
    <r>
      <rPr>
        <b/>
        <sz val="11"/>
        <rFont val="Arial"/>
        <family val="2"/>
      </rPr>
      <t>"page de garde" (Deckblatt)</t>
    </r>
    <r>
      <rPr>
        <sz val="11"/>
        <rFont val="Arial"/>
        <family val="2"/>
      </rPr>
      <t>, vous trouverez le solde de vos absences de loisirs.</t>
    </r>
  </si>
  <si>
    <r>
      <t xml:space="preserve"> - Sur la feuille </t>
    </r>
    <r>
      <rPr>
        <b/>
        <sz val="11"/>
        <rFont val="Arial"/>
        <family val="2"/>
      </rPr>
      <t>"Récapitulation"</t>
    </r>
    <r>
      <rPr>
        <sz val="11"/>
        <rFont val="Arial"/>
        <family val="2"/>
      </rPr>
      <t xml:space="preserve"> </t>
    </r>
    <r>
      <rPr>
        <b/>
        <sz val="11"/>
        <rFont val="Arial"/>
        <family val="2"/>
      </rPr>
      <t>(Zusammenzug)</t>
    </r>
    <r>
      <rPr>
        <sz val="11"/>
        <rFont val="Arial"/>
        <family val="2"/>
      </rPr>
      <t>, vous trouverez un récapitulatif de toutes les valeurs qui ont été saisies au cours de l'année pour les différents mois.</t>
    </r>
  </si>
  <si>
    <r>
      <t xml:space="preserve"> - Sur la feuille </t>
    </r>
    <r>
      <rPr>
        <b/>
        <sz val="11"/>
        <rFont val="Arial"/>
        <family val="2"/>
      </rPr>
      <t>"Evaluation"</t>
    </r>
    <r>
      <rPr>
        <sz val="11"/>
        <rFont val="Arial"/>
        <family val="2"/>
      </rPr>
      <t xml:space="preserve"> </t>
    </r>
    <r>
      <rPr>
        <b/>
        <sz val="11"/>
        <rFont val="Arial"/>
        <family val="2"/>
      </rPr>
      <t>(Auswertung)</t>
    </r>
    <r>
      <rPr>
        <sz val="11"/>
        <rFont val="Arial"/>
        <family val="2"/>
      </rPr>
      <t>, vous trouverez une représentation graphique de toutes les absences et des jours de service indiqués les dimanches et jours fériés.</t>
    </r>
  </si>
  <si>
    <t>Dès que toutes les données sont saisies à la fin de l'année, la "page de garde light" peut être finalisée pour refbejuso. La plupart des valeurs sont reprises directement des feuilles mensuelles. Seuls les champs surlignés en jaune doivent encore être remplis.</t>
  </si>
  <si>
    <t>INFORMATIONS COMPLÉMENTAIRES</t>
  </si>
  <si>
    <t>2e étape: remplir la feuille "Domaines de travail" (Arbeitsbereiche) (facultatif)</t>
  </si>
  <si>
    <t>3e étape: remplir les "feuilles mensuelles"</t>
  </si>
  <si>
    <t>4e étape: remplir la "feuille de couverture light" (fin d'année)</t>
  </si>
  <si>
    <t>Taux d'occupation en cours d'année (Beschäftigungsgrad im Jahresverlauf)</t>
  </si>
  <si>
    <t>Le taux d'occupation en cours d'année peut être adapté. Le droit aux vacances et le temps de travail théorique à effectuer sont ainsi calculés automatiquement</t>
  </si>
  <si>
    <r>
      <t xml:space="preserve">Attention: </t>
    </r>
    <r>
      <rPr>
        <sz val="11"/>
        <rFont val="Arial"/>
        <family val="2"/>
      </rPr>
      <t>les valeurs de date indiquées ne doivent pas se chevaucher!</t>
    </r>
  </si>
  <si>
    <r>
      <rPr>
        <b/>
        <i/>
        <sz val="11"/>
        <rFont val="Arial"/>
        <family val="2"/>
      </rPr>
      <t>Les congés non payés (Unbezahlter Urlaub)</t>
    </r>
    <r>
      <rPr>
        <sz val="11"/>
        <rFont val="Arial"/>
        <family val="2"/>
      </rPr>
      <t xml:space="preserve"> peuvent être représentés par un engagement temporaire à 0%. Le droit aux vacances est réduit en conséquence. </t>
    </r>
  </si>
  <si>
    <t xml:space="preserve"> - Saisie du travail effectué</t>
  </si>
  <si>
    <t xml:space="preserve">La saisie est possible par heure (Uhrzeit), en heures fixes (Fixstunden) ou en journées complètes (Ganztagen). </t>
  </si>
  <si>
    <t>Les services effectués le dimanche et les jours fériés sont indiqués comme compensation (art. 73OPCP). Une présentation claire se trouve sur la feuille "Evaluation" (Auswertung). Le solde est également visible sur la "page de garde" (Deckblatt) .</t>
  </si>
  <si>
    <t xml:space="preserve"> - Temps réel (Ist-Zeit) - signification des symboles (aide en cas de saisie erronée ou double)</t>
  </si>
  <si>
    <t xml:space="preserve">      - Le temps saisi n'est pas supérieur à 8,4 heures.  </t>
  </si>
  <si>
    <t xml:space="preserve">      - Le temps saisi est supérieur à 8,4 heures mais inférieur ou égal à 10 heures.</t>
  </si>
  <si>
    <t xml:space="preserve">      - Le temps saisi est supérieur à 10 heures mais inférieur ou égal à 12 heures.</t>
  </si>
  <si>
    <t xml:space="preserve">      - Le temps saisi est supérieur à 12 heures.</t>
  </si>
  <si>
    <t xml:space="preserve">L'absence maximale par jour (durée théorique) ne peut pas être dépassée. </t>
  </si>
  <si>
    <t>Les absences ne sont possibles que pour les champs sur fond gris clair ou blanc.</t>
  </si>
  <si>
    <t>Toutes les informations sur les absences sont affichées dans le champ lors de la saisie.</t>
  </si>
  <si>
    <t>Les vacances sont toujours inscrites conformément à la charge de travail pour toute la période de vacances (donc 5 jours ouvrables par semaine).</t>
  </si>
  <si>
    <t>Bezieht sich auf die Datenüberprüfung (Fehlermeldungen) der Abwesenheiten.</t>
  </si>
  <si>
    <t xml:space="preserve"> - Saisie des absences (vacances, maladie, congé de courte durée, service militaire, etc.)</t>
  </si>
  <si>
    <r>
      <t xml:space="preserve">En principe, seuls les services prévus dans la planification annuelle devraient tomber sur les dimanches et les jours fériés (services religieux, événements particuliers, jours de camp). Le reste du travail (y compris la préparation du culte) doit être effectué pendant les 6 jours ouvrables. </t>
    </r>
    <r>
      <rPr>
        <sz val="11"/>
        <rFont val="Arial"/>
        <family val="2"/>
      </rPr>
      <t xml:space="preserve">C'est pourquoi l'ancienne valeur de référence, selon laquelle un service religieux le dimanche ou un jour férié doit être comptabilisé à hauteur de 0,25 jour ou 2,1 heures, reste valable. Remarque importante: le travail du dimanche et des jours fériés est saisi dans le même tableau que les autres jours de travail. </t>
    </r>
  </si>
  <si>
    <t>Merci de remplir les champs en jaune</t>
  </si>
  <si>
    <t>Absences</t>
  </si>
  <si>
    <t>Service du personnel</t>
  </si>
  <si>
    <t>Case postale</t>
  </si>
  <si>
    <t>Téléphone: 031 340 24 53</t>
  </si>
  <si>
    <t>Courriel: pep@refbejuso.ch</t>
  </si>
  <si>
    <t>Pasteur·e</t>
  </si>
  <si>
    <t>Paroisse</t>
  </si>
  <si>
    <t>Taux d’occupation</t>
  </si>
  <si>
    <t>Année de naissance</t>
  </si>
  <si>
    <t>Courriel</t>
  </si>
  <si>
    <r>
      <t xml:space="preserve">Vacances </t>
    </r>
    <r>
      <rPr>
        <sz val="9"/>
        <rFont val="Arial"/>
        <family val="2"/>
      </rPr>
      <t>(en jour selon le taux d’occupation)</t>
    </r>
  </si>
  <si>
    <t>Avoir</t>
  </si>
  <si>
    <t>Pris</t>
  </si>
  <si>
    <t>Solde</t>
  </si>
  <si>
    <t>en jour selon le taux d’occupation</t>
  </si>
  <si>
    <t>selon l’âge</t>
  </si>
  <si>
    <t>max. 10 jours  selon art. 71 al. 1 OPCp</t>
  </si>
  <si>
    <t>au moins 20 jrs 
art. 70 al. 2 OPCp</t>
  </si>
  <si>
    <t>Âge</t>
  </si>
  <si>
    <t>Droit aux vacances selon l’âge</t>
  </si>
  <si>
    <t>(tous les autres jours de congé doivent être pris comme des jrs de comp., jrs de repos etc.)</t>
  </si>
  <si>
    <t>En cas de report de plus de 10 jours de vacances, prière de joindre l'accord écrit de l'autorité d'engagement (art. 71, al. 1 OPCp).</t>
  </si>
  <si>
    <t>Report sur le compte épargne-temps</t>
  </si>
  <si>
    <t>Solde au 31.12.</t>
  </si>
  <si>
    <t>Art. 71 et art. 79 ss OPCp</t>
  </si>
  <si>
    <t xml:space="preserve">Compte épargne-temps </t>
  </si>
  <si>
    <t>en cas de perception, date:</t>
  </si>
  <si>
    <t>Autres absences</t>
  </si>
  <si>
    <t>Art. 57 OPCp</t>
  </si>
  <si>
    <t xml:space="preserve">Formation continue  </t>
  </si>
  <si>
    <t>congé d'études</t>
  </si>
  <si>
    <t>Congé de courte durée / charge publique</t>
  </si>
  <si>
    <t>Service militaire / Care Team / protection civile</t>
  </si>
  <si>
    <t>Congé de maternité / paternité</t>
  </si>
  <si>
    <r>
      <t xml:space="preserve">Maladie / accident                   </t>
    </r>
    <r>
      <rPr>
        <sz val="8"/>
        <rFont val="Arial"/>
        <family val="2"/>
      </rPr>
      <t>1)</t>
    </r>
    <r>
      <rPr>
        <sz val="9"/>
        <rFont val="Arial"/>
        <family val="2"/>
      </rPr>
      <t xml:space="preserve">                 </t>
    </r>
  </si>
  <si>
    <t>en heures</t>
  </si>
  <si>
    <r>
      <t xml:space="preserve">en jour selon </t>
    </r>
    <r>
      <rPr>
        <sz val="8"/>
        <rFont val="Arial"/>
        <family val="2"/>
        <charset val="1"/>
      </rPr>
      <t>le taux d’engagement</t>
    </r>
  </si>
  <si>
    <t>Du… au…</t>
  </si>
  <si>
    <t>1) Certificat médical disponible? (à remettre au plus tard le sixième jour ouvré selon l'art. 31ss)</t>
  </si>
  <si>
    <t>La personne soussignée confirme l'exactitude des informations ci-dessus</t>
  </si>
  <si>
    <t>Le conseil de paroisse / l'Institution confirme l'exactitude des absences indiquées.</t>
  </si>
  <si>
    <t>Pour le conseil de paroisse/l’institution</t>
  </si>
  <si>
    <t>Signature 1</t>
  </si>
  <si>
    <t>Signature 2</t>
  </si>
  <si>
    <t xml:space="preserve">GD, Kasualien </t>
  </si>
  <si>
    <t>à BG %</t>
  </si>
  <si>
    <t>BG %</t>
  </si>
  <si>
    <r>
      <t>Signature du ou de la paste</t>
    </r>
    <r>
      <rPr>
        <sz val="8"/>
        <rFont val="Arial"/>
        <family val="2"/>
      </rPr>
      <t>ur·e</t>
    </r>
    <r>
      <rPr>
        <sz val="8"/>
        <rFont val="Arial"/>
        <family val="2"/>
        <charset val="1"/>
      </rPr>
      <t>:</t>
    </r>
  </si>
  <si>
    <t>v24/23.12.06zw</t>
  </si>
  <si>
    <t>Versionsverlauf</t>
  </si>
  <si>
    <t>v24/24.01.11zw</t>
  </si>
  <si>
    <t>Bereinigung von visuellen Bugs "Auswertung"</t>
  </si>
  <si>
    <t>Erstveröffentlichung über PV</t>
  </si>
  <si>
    <t>Überarbeitung Deckblatt, Trennung der Vermengung von Ferien und Freizeit, direkte Verrechnung der Kompensation</t>
  </si>
  <si>
    <t>Total Freizeit</t>
  </si>
  <si>
    <r>
      <rPr>
        <b/>
        <sz val="10"/>
        <rFont val="Arial"/>
        <family val="2"/>
      </rPr>
      <t>Freitage</t>
    </r>
    <r>
      <rPr>
        <sz val="10"/>
        <rFont val="Arial"/>
        <family val="2"/>
      </rPr>
      <t xml:space="preserve">                           </t>
    </r>
    <r>
      <rPr>
        <sz val="9"/>
        <rFont val="Arial"/>
        <family val="2"/>
      </rPr>
      <t>(1 freier Werktag pro Woche, Art. 77 PRP / Art. 73 PVP)</t>
    </r>
  </si>
  <si>
    <t>Oster-Montag</t>
  </si>
  <si>
    <t>Pfingst-Montag</t>
  </si>
  <si>
    <r>
      <t xml:space="preserve">SALDO </t>
    </r>
    <r>
      <rPr>
        <b/>
        <sz val="8"/>
        <color rgb="FFFF0000"/>
        <rFont val="Arial"/>
        <family val="2"/>
      </rPr>
      <t>im Jahresverl</t>
    </r>
  </si>
  <si>
    <t>v25/24.12.28zw</t>
  </si>
  <si>
    <t>Diese Daten werden für die Auswertung bzw. das Deckblatt verwendet.</t>
  </si>
  <si>
    <t>Bereinigung von visuellen Bugs "Auswertung" (gerundet auf zwei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</si>
</sst>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 #,##0.00_ ;_ * \-#,##0.00_ ;_ * &quot;-&quot;??_ ;_ @_ "/>
    <numFmt numFmtId="164" formatCode="0.0"/>
    <numFmt numFmtId="165" formatCode="0.000000000000000000000000000000"/>
    <numFmt numFmtId="166" formatCode="0.00_ ;[Red]\-0.00\ "/>
    <numFmt numFmtId="167" formatCode="dd/mm/"/>
    <numFmt numFmtId="168" formatCode="0.00;\-0.00;;@"/>
    <numFmt numFmtId="169" formatCode="ddd/"/>
    <numFmt numFmtId="170" formatCode="ddd"/>
    <numFmt numFmtId="171" formatCode="[h]\:mm;\-\ [h]\:mm;0\:00"/>
    <numFmt numFmtId="172" formatCode="hh\:mm"/>
    <numFmt numFmtId="173" formatCode="0.00;;0.00"/>
    <numFmt numFmtId="174" formatCode="0;\-0;;@"/>
    <numFmt numFmtId="175" formatCode="dd/mm/yyyy;@"/>
    <numFmt numFmtId="176" formatCode="mmm"/>
    <numFmt numFmtId="177" formatCode="0.0;\-0.0;;@"/>
    <numFmt numFmtId="178" formatCode="\+0.00;\-0.00;;@"/>
    <numFmt numFmtId="179" formatCode="0.0%"/>
    <numFmt numFmtId="180" formatCode="0.0;\-0.0;\-"/>
  </numFmts>
  <fonts count="52" x14ac:knownFonts="1">
    <font>
      <sz val="10"/>
      <name val="Arial"/>
    </font>
    <font>
      <b/>
      <sz val="10"/>
      <name val="Arial"/>
      <family val="2"/>
    </font>
    <font>
      <b/>
      <i/>
      <sz val="10"/>
      <name val="Arial"/>
      <family val="2"/>
    </font>
    <font>
      <sz val="10"/>
      <name val="Arial"/>
      <family val="2"/>
    </font>
    <font>
      <sz val="8"/>
      <name val="Arial"/>
      <family val="2"/>
    </font>
    <font>
      <b/>
      <sz val="8"/>
      <name val="Arial"/>
      <family val="2"/>
    </font>
    <font>
      <b/>
      <u/>
      <sz val="12"/>
      <name val="Arial"/>
      <family val="2"/>
    </font>
    <font>
      <b/>
      <sz val="10"/>
      <name val="Arial"/>
      <family val="2"/>
    </font>
    <font>
      <b/>
      <sz val="12"/>
      <name val="Arial"/>
      <family val="2"/>
    </font>
    <font>
      <sz val="10"/>
      <name val="Arial"/>
      <family val="2"/>
    </font>
    <font>
      <b/>
      <sz val="14"/>
      <name val="Arial"/>
      <family val="2"/>
    </font>
    <font>
      <b/>
      <sz val="10"/>
      <color indexed="10"/>
      <name val="Arial"/>
      <family val="2"/>
    </font>
    <font>
      <sz val="9"/>
      <name val="Arial"/>
      <family val="2"/>
    </font>
    <font>
      <sz val="8"/>
      <name val="Arial"/>
      <family val="2"/>
    </font>
    <font>
      <sz val="10"/>
      <color indexed="10"/>
      <name val="Arial"/>
      <family val="2"/>
    </font>
    <font>
      <b/>
      <vertAlign val="superscript"/>
      <sz val="10"/>
      <color indexed="12"/>
      <name val="Arial"/>
      <family val="2"/>
    </font>
    <font>
      <b/>
      <sz val="9"/>
      <name val="Arial"/>
      <family val="2"/>
    </font>
    <font>
      <b/>
      <vertAlign val="superscript"/>
      <sz val="9"/>
      <name val="Arial"/>
      <family val="2"/>
    </font>
    <font>
      <i/>
      <sz val="8"/>
      <name val="Arial"/>
      <family val="2"/>
    </font>
    <font>
      <b/>
      <sz val="10"/>
      <color rgb="FFFF0000"/>
      <name val="Arial"/>
      <family val="2"/>
    </font>
    <font>
      <sz val="10"/>
      <color rgb="FFFF0000"/>
      <name val="Arial"/>
      <family val="2"/>
    </font>
    <font>
      <b/>
      <sz val="8"/>
      <color rgb="FFFF0000"/>
      <name val="Arial"/>
      <family val="2"/>
    </font>
    <font>
      <sz val="7"/>
      <name val="Arial"/>
      <family val="2"/>
    </font>
    <font>
      <vertAlign val="superscript"/>
      <sz val="9"/>
      <name val="Arial"/>
      <family val="2"/>
    </font>
    <font>
      <b/>
      <sz val="11"/>
      <name val="Arial"/>
      <family val="2"/>
    </font>
    <font>
      <sz val="6"/>
      <name val="Arial"/>
      <family val="2"/>
    </font>
    <font>
      <sz val="10"/>
      <color indexed="22"/>
      <name val="Arial"/>
      <family val="2"/>
    </font>
    <font>
      <sz val="10"/>
      <name val="Arial"/>
      <family val="2"/>
    </font>
    <font>
      <sz val="10"/>
      <color rgb="FF000080"/>
      <name val="Arial"/>
      <family val="2"/>
    </font>
    <font>
      <b/>
      <i/>
      <sz val="9"/>
      <color rgb="FFFF0000"/>
      <name val="Arial"/>
      <family val="2"/>
    </font>
    <font>
      <b/>
      <u/>
      <sz val="10"/>
      <name val="Arial"/>
      <family val="2"/>
    </font>
    <font>
      <sz val="5"/>
      <name val="Arial"/>
      <family val="2"/>
    </font>
    <font>
      <sz val="4"/>
      <name val="Arial"/>
      <family val="2"/>
    </font>
    <font>
      <sz val="8"/>
      <name val="Arial"/>
      <family val="2"/>
    </font>
    <font>
      <sz val="9"/>
      <color rgb="FFFF0000"/>
      <name val="Arial"/>
      <family val="2"/>
    </font>
    <font>
      <u/>
      <sz val="10"/>
      <color theme="10"/>
      <name val="Arial"/>
      <family val="2"/>
    </font>
    <font>
      <sz val="11"/>
      <color rgb="FFFF0000"/>
      <name val="Webdings"/>
      <family val="1"/>
      <charset val="2"/>
    </font>
    <font>
      <sz val="7.5"/>
      <name val="Arial"/>
      <family val="2"/>
    </font>
    <font>
      <b/>
      <u/>
      <sz val="11"/>
      <name val="Arial"/>
      <family val="2"/>
    </font>
    <font>
      <sz val="11"/>
      <name val="Arial"/>
      <family val="2"/>
    </font>
    <font>
      <i/>
      <u/>
      <sz val="11"/>
      <name val="Arial"/>
      <family val="2"/>
    </font>
    <font>
      <i/>
      <sz val="11"/>
      <name val="Arial"/>
      <family val="2"/>
    </font>
    <font>
      <b/>
      <i/>
      <sz val="11"/>
      <name val="Arial"/>
      <family val="2"/>
    </font>
    <font>
      <sz val="11"/>
      <color rgb="FFFF0000"/>
      <name val="Arial"/>
      <family val="2"/>
    </font>
    <font>
      <i/>
      <sz val="10"/>
      <name val="Arial"/>
      <family val="2"/>
    </font>
    <font>
      <sz val="8"/>
      <color theme="0" tint="-0.499984740745262"/>
      <name val="Arial"/>
      <family val="2"/>
    </font>
    <font>
      <u/>
      <sz val="11"/>
      <color rgb="FFFF0000"/>
      <name val="Arial"/>
      <family val="2"/>
    </font>
    <font>
      <sz val="9"/>
      <name val="Arial"/>
      <family val="2"/>
      <charset val="1"/>
    </font>
    <font>
      <b/>
      <sz val="9"/>
      <name val="Arial"/>
      <family val="2"/>
      <charset val="1"/>
    </font>
    <font>
      <sz val="8"/>
      <name val="Arial"/>
      <family val="2"/>
      <charset val="1"/>
    </font>
    <font>
      <b/>
      <sz val="7"/>
      <name val="Arial"/>
      <family val="2"/>
    </font>
    <font>
      <b/>
      <sz val="8"/>
      <name val="Arial"/>
      <family val="2"/>
      <charset val="1"/>
    </font>
  </fonts>
  <fills count="33">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55"/>
        <bgColor indexed="64"/>
      </patternFill>
    </fill>
    <fill>
      <patternFill patternType="solid">
        <fgColor theme="0" tint="-0.14999847407452621"/>
        <bgColor indexed="64"/>
      </patternFill>
    </fill>
    <fill>
      <patternFill patternType="solid">
        <fgColor indexed="43"/>
        <bgColor indexed="64"/>
      </patternFill>
    </fill>
    <fill>
      <patternFill patternType="solid">
        <fgColor theme="9"/>
        <bgColor indexed="64"/>
      </patternFill>
    </fill>
    <fill>
      <patternFill patternType="solid">
        <fgColor rgb="FFB7FFB7"/>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BE"/>
        <bgColor indexed="64"/>
      </patternFill>
    </fill>
    <fill>
      <patternFill patternType="solid">
        <fgColor rgb="FFCCFFCC"/>
        <bgColor indexed="64"/>
      </patternFill>
    </fill>
    <fill>
      <patternFill patternType="solid">
        <fgColor rgb="FFFCD5B4"/>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8"/>
        <bgColor indexed="64"/>
      </patternFill>
    </fill>
    <fill>
      <patternFill patternType="solid">
        <fgColor theme="3" tint="0.79998168889431442"/>
        <bgColor indexed="64"/>
      </patternFill>
    </fill>
    <fill>
      <patternFill patternType="solid">
        <fgColor rgb="FF8DB4E2"/>
        <bgColor indexed="64"/>
      </patternFill>
    </fill>
    <fill>
      <patternFill patternType="solid">
        <fgColor rgb="FFD9D9D9"/>
        <bgColor indexed="64"/>
      </patternFill>
    </fill>
    <fill>
      <patternFill patternType="solid">
        <fgColor rgb="FFD8E4BC"/>
        <bgColor indexed="64"/>
      </patternFill>
    </fill>
    <fill>
      <patternFill patternType="solid">
        <fgColor rgb="FFDA9694"/>
        <bgColor indexed="64"/>
      </patternFill>
    </fill>
    <fill>
      <patternFill patternType="solid">
        <fgColor theme="1"/>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E6B8B7"/>
        <bgColor indexed="64"/>
      </patternFill>
    </fill>
    <fill>
      <patternFill patternType="lightUp"/>
    </fill>
    <fill>
      <patternFill patternType="solid">
        <fgColor rgb="FFDCEFF4"/>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rgb="FFF2FD8B"/>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right/>
      <top style="hair">
        <color indexed="64"/>
      </top>
      <bottom/>
      <diagonal/>
    </border>
    <border>
      <left/>
      <right/>
      <top style="thin">
        <color indexed="64"/>
      </top>
      <bottom style="double">
        <color indexed="64"/>
      </bottom>
      <diagonal/>
    </border>
    <border>
      <left/>
      <right style="thin">
        <color indexed="64"/>
      </right>
      <top/>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auto="1"/>
      </left>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thin">
        <color indexed="64"/>
      </left>
      <right style="thin">
        <color indexed="64"/>
      </right>
      <top style="hair">
        <color indexed="64"/>
      </top>
      <bottom style="dashDotDot">
        <color indexed="64"/>
      </bottom>
      <diagonal/>
    </border>
    <border>
      <left/>
      <right style="thin">
        <color indexed="64"/>
      </right>
      <top style="hair">
        <color indexed="64"/>
      </top>
      <bottom style="dashDotDot">
        <color indexed="64"/>
      </bottom>
      <diagonal/>
    </border>
    <border>
      <left/>
      <right style="thin">
        <color indexed="64"/>
      </right>
      <top style="hair">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auto="1"/>
      </right>
      <top/>
      <bottom/>
      <diagonal/>
    </border>
    <border>
      <left/>
      <right style="dotted">
        <color indexed="64"/>
      </right>
      <top style="thin">
        <color indexed="64"/>
      </top>
      <bottom style="thin">
        <color auto="1"/>
      </bottom>
      <diagonal/>
    </border>
    <border>
      <left/>
      <right style="dotted">
        <color indexed="64"/>
      </right>
      <top style="thin">
        <color indexed="64"/>
      </top>
      <bottom/>
      <diagonal/>
    </border>
    <border>
      <left style="dotted">
        <color indexed="64"/>
      </left>
      <right style="thin">
        <color indexed="64"/>
      </right>
      <top style="thin">
        <color indexed="64"/>
      </top>
      <bottom style="thin">
        <color auto="1"/>
      </bottom>
      <diagonal/>
    </border>
    <border>
      <left style="dotted">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
      <left/>
      <right/>
      <top/>
      <bottom style="double">
        <color indexed="64"/>
      </bottom>
      <diagonal/>
    </border>
    <border>
      <left/>
      <right style="thin">
        <color indexed="64"/>
      </right>
      <top/>
      <bottom style="double">
        <color indexed="64"/>
      </bottom>
      <diagonal/>
    </border>
    <border>
      <left style="medium">
        <color rgb="FFFF0000"/>
      </left>
      <right/>
      <top/>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FF0000"/>
      </left>
      <right style="thin">
        <color rgb="FFFF0000"/>
      </right>
      <top style="thin">
        <color rgb="FFFF0000"/>
      </top>
      <bottom style="thin">
        <color rgb="FFFF0000"/>
      </bottom>
      <diagonal/>
    </border>
    <border>
      <left/>
      <right style="thin">
        <color indexed="64"/>
      </right>
      <top style="medium">
        <color indexed="64"/>
      </top>
      <bottom style="medium">
        <color indexed="64"/>
      </bottom>
      <diagonal/>
    </border>
  </borders>
  <cellStyleXfs count="3">
    <xf numFmtId="0" fontId="0" fillId="0" borderId="0"/>
    <xf numFmtId="43" fontId="27" fillId="0" borderId="0" applyFont="0" applyFill="0" applyBorder="0" applyAlignment="0" applyProtection="0"/>
    <xf numFmtId="0" fontId="35" fillId="0" borderId="0" applyNumberFormat="0" applyFill="0" applyBorder="0" applyAlignment="0" applyProtection="0"/>
  </cellStyleXfs>
  <cellXfs count="659">
    <xf numFmtId="0" fontId="0" fillId="0" borderId="0" xfId="0"/>
    <xf numFmtId="0" fontId="0" fillId="0" borderId="0" xfId="0" applyAlignment="1">
      <alignment horizontal="center"/>
    </xf>
    <xf numFmtId="165" fontId="0" fillId="0" borderId="0" xfId="0" applyNumberFormat="1"/>
    <xf numFmtId="0" fontId="11" fillId="0" borderId="0" xfId="0" applyFont="1"/>
    <xf numFmtId="0" fontId="1" fillId="0" borderId="0" xfId="0" applyFont="1"/>
    <xf numFmtId="0" fontId="25" fillId="9" borderId="27" xfId="0" applyFont="1" applyFill="1" applyBorder="1" applyAlignment="1" applyProtection="1">
      <alignment vertical="center" wrapText="1"/>
      <protection locked="0"/>
    </xf>
    <xf numFmtId="169" fontId="1" fillId="0" borderId="1" xfId="0" applyNumberFormat="1"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170" fontId="0" fillId="0" borderId="1" xfId="0" applyNumberFormat="1" applyBorder="1" applyAlignment="1" applyProtection="1">
      <alignment horizontal="center"/>
      <protection hidden="1"/>
    </xf>
    <xf numFmtId="172" fontId="0" fillId="0" borderId="0" xfId="0" applyNumberFormat="1" applyProtection="1">
      <protection hidden="1"/>
    </xf>
    <xf numFmtId="0" fontId="0" fillId="0" borderId="0" xfId="0" applyProtection="1">
      <protection hidden="1"/>
    </xf>
    <xf numFmtId="0" fontId="1" fillId="0" borderId="0" xfId="0" applyFont="1" applyProtection="1">
      <protection hidden="1"/>
    </xf>
    <xf numFmtId="0" fontId="26" fillId="0" borderId="0" xfId="0" applyFont="1" applyProtection="1">
      <protection hidden="1"/>
    </xf>
    <xf numFmtId="171" fontId="3" fillId="0" borderId="0" xfId="0" applyNumberFormat="1" applyFont="1" applyProtection="1">
      <protection hidden="1"/>
    </xf>
    <xf numFmtId="2" fontId="3" fillId="6" borderId="53" xfId="0" applyNumberFormat="1" applyFont="1" applyFill="1" applyBorder="1" applyProtection="1">
      <protection hidden="1"/>
    </xf>
    <xf numFmtId="0" fontId="3" fillId="0" borderId="53" xfId="0" applyFont="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3" fillId="6" borderId="53" xfId="0" applyFont="1" applyFill="1" applyBorder="1" applyAlignment="1" applyProtection="1">
      <alignment horizontal="center" vertical="center" wrapText="1"/>
      <protection hidden="1"/>
    </xf>
    <xf numFmtId="0" fontId="3" fillId="0" borderId="53" xfId="0" applyFont="1" applyBorder="1" applyAlignment="1" applyProtection="1">
      <alignment horizontal="center"/>
      <protection hidden="1"/>
    </xf>
    <xf numFmtId="0" fontId="3" fillId="0" borderId="1" xfId="0" applyFont="1" applyBorder="1" applyAlignment="1" applyProtection="1">
      <alignment horizontal="center" vertical="center" wrapText="1"/>
      <protection hidden="1"/>
    </xf>
    <xf numFmtId="0" fontId="1" fillId="0" borderId="1" xfId="0" applyFont="1" applyBorder="1" applyProtection="1">
      <protection hidden="1"/>
    </xf>
    <xf numFmtId="2" fontId="1" fillId="0" borderId="1" xfId="0" applyNumberFormat="1" applyFont="1" applyBorder="1" applyProtection="1">
      <protection hidden="1"/>
    </xf>
    <xf numFmtId="171" fontId="1" fillId="0" borderId="1" xfId="0" applyNumberFormat="1" applyFont="1" applyBorder="1" applyProtection="1">
      <protection hidden="1"/>
    </xf>
    <xf numFmtId="2" fontId="3" fillId="6" borderId="59" xfId="0" applyNumberFormat="1" applyFont="1" applyFill="1" applyBorder="1" applyAlignment="1" applyProtection="1">
      <alignment horizontal="center"/>
      <protection hidden="1"/>
    </xf>
    <xf numFmtId="2" fontId="3" fillId="0" borderId="0" xfId="0" applyNumberFormat="1" applyFont="1" applyProtection="1">
      <protection hidden="1"/>
    </xf>
    <xf numFmtId="2" fontId="3" fillId="0" borderId="1" xfId="0" applyNumberFormat="1" applyFont="1" applyBorder="1" applyProtection="1">
      <protection hidden="1"/>
    </xf>
    <xf numFmtId="0" fontId="3" fillId="6" borderId="1" xfId="0" applyFont="1" applyFill="1" applyBorder="1" applyAlignment="1" applyProtection="1">
      <alignment horizontal="center" vertical="center" wrapText="1"/>
      <protection hidden="1"/>
    </xf>
    <xf numFmtId="174" fontId="3" fillId="0" borderId="53" xfId="0" applyNumberFormat="1" applyFont="1" applyBorder="1" applyProtection="1">
      <protection hidden="1"/>
    </xf>
    <xf numFmtId="2" fontId="3" fillId="13" borderId="53" xfId="1" applyNumberFormat="1" applyFont="1" applyFill="1" applyBorder="1" applyProtection="1">
      <protection hidden="1"/>
    </xf>
    <xf numFmtId="9" fontId="3" fillId="13" borderId="1" xfId="0" applyNumberFormat="1" applyFont="1" applyFill="1" applyBorder="1" applyAlignment="1" applyProtection="1">
      <alignment horizontal="center" vertical="center" wrapText="1"/>
      <protection hidden="1"/>
    </xf>
    <xf numFmtId="43" fontId="3" fillId="13" borderId="1" xfId="0" applyNumberFormat="1" applyFont="1" applyFill="1" applyBorder="1" applyAlignment="1" applyProtection="1">
      <alignment horizontal="center" vertical="center" wrapText="1"/>
      <protection hidden="1"/>
    </xf>
    <xf numFmtId="2" fontId="3" fillId="6" borderId="57" xfId="0" applyNumberFormat="1" applyFont="1" applyFill="1" applyBorder="1" applyProtection="1">
      <protection hidden="1"/>
    </xf>
    <xf numFmtId="2" fontId="3" fillId="6" borderId="58" xfId="0" applyNumberFormat="1" applyFont="1" applyFill="1" applyBorder="1" applyProtection="1">
      <protection hidden="1"/>
    </xf>
    <xf numFmtId="2" fontId="1" fillId="0" borderId="0" xfId="0" applyNumberFormat="1" applyFont="1" applyProtection="1">
      <protection hidden="1"/>
    </xf>
    <xf numFmtId="171" fontId="1" fillId="0" borderId="0" xfId="0" applyNumberFormat="1" applyFont="1" applyProtection="1">
      <protection hidden="1"/>
    </xf>
    <xf numFmtId="168" fontId="1" fillId="0" borderId="1" xfId="0" applyNumberFormat="1" applyFont="1" applyBorder="1" applyProtection="1">
      <protection hidden="1"/>
    </xf>
    <xf numFmtId="168" fontId="3" fillId="0" borderId="1" xfId="0" applyNumberFormat="1" applyFont="1" applyBorder="1" applyProtection="1">
      <protection hidden="1"/>
    </xf>
    <xf numFmtId="168" fontId="0" fillId="0" borderId="1" xfId="0" applyNumberFormat="1" applyBorder="1" applyProtection="1">
      <protection hidden="1"/>
    </xf>
    <xf numFmtId="173" fontId="3" fillId="13" borderId="53" xfId="0" applyNumberFormat="1" applyFont="1" applyFill="1" applyBorder="1" applyProtection="1">
      <protection hidden="1"/>
    </xf>
    <xf numFmtId="170" fontId="3" fillId="0" borderId="1" xfId="0" applyNumberFormat="1" applyFont="1" applyBorder="1" applyAlignment="1" applyProtection="1">
      <alignment horizontal="center"/>
      <protection hidden="1"/>
    </xf>
    <xf numFmtId="20" fontId="4" fillId="0" borderId="22" xfId="0" applyNumberFormat="1" applyFont="1" applyBorder="1" applyAlignment="1" applyProtection="1">
      <alignment horizontal="right"/>
      <protection locked="0"/>
    </xf>
    <xf numFmtId="20" fontId="4" fillId="0" borderId="49" xfId="0" applyNumberFormat="1" applyFont="1" applyBorder="1" applyAlignment="1" applyProtection="1">
      <alignment horizontal="right"/>
      <protection locked="0"/>
    </xf>
    <xf numFmtId="20" fontId="4" fillId="0" borderId="17" xfId="0" applyNumberFormat="1" applyFont="1" applyBorder="1" applyAlignment="1" applyProtection="1">
      <alignment horizontal="right"/>
      <protection locked="0"/>
    </xf>
    <xf numFmtId="20" fontId="4" fillId="0" borderId="50" xfId="0" applyNumberFormat="1" applyFont="1" applyBorder="1" applyAlignment="1" applyProtection="1">
      <alignment horizontal="right"/>
      <protection locked="0"/>
    </xf>
    <xf numFmtId="2" fontId="4" fillId="0" borderId="27" xfId="0" applyNumberFormat="1" applyFont="1" applyBorder="1" applyProtection="1">
      <protection locked="0"/>
    </xf>
    <xf numFmtId="2" fontId="4" fillId="0" borderId="21" xfId="0" applyNumberFormat="1" applyFont="1" applyBorder="1" applyProtection="1">
      <protection locked="0"/>
    </xf>
    <xf numFmtId="2" fontId="4" fillId="0" borderId="52" xfId="0" applyNumberFormat="1" applyFont="1" applyBorder="1" applyProtection="1">
      <protection locked="0"/>
    </xf>
    <xf numFmtId="2" fontId="3" fillId="13" borderId="53" xfId="0" applyNumberFormat="1" applyFont="1" applyFill="1" applyBorder="1" applyProtection="1">
      <protection hidden="1"/>
    </xf>
    <xf numFmtId="49" fontId="3" fillId="12" borderId="1" xfId="0" applyNumberFormat="1" applyFont="1" applyFill="1" applyBorder="1" applyAlignment="1" applyProtection="1">
      <alignment vertical="center"/>
      <protection locked="0"/>
    </xf>
    <xf numFmtId="0" fontId="0" fillId="0" borderId="43" xfId="0" applyBorder="1"/>
    <xf numFmtId="0" fontId="0" fillId="0" borderId="58" xfId="0" applyBorder="1"/>
    <xf numFmtId="0" fontId="0" fillId="0" borderId="20" xfId="0" applyBorder="1"/>
    <xf numFmtId="0" fontId="0" fillId="0" borderId="54" xfId="0" applyBorder="1"/>
    <xf numFmtId="0" fontId="0" fillId="0" borderId="67" xfId="0" applyBorder="1"/>
    <xf numFmtId="0" fontId="0" fillId="0" borderId="21" xfId="0" applyBorder="1"/>
    <xf numFmtId="0" fontId="3" fillId="0" borderId="0" xfId="0" applyFont="1"/>
    <xf numFmtId="0" fontId="3" fillId="0" borderId="54" xfId="0" applyFont="1" applyBorder="1"/>
    <xf numFmtId="2" fontId="0" fillId="0" borderId="1" xfId="0" applyNumberFormat="1" applyBorder="1" applyAlignment="1" applyProtection="1">
      <alignment horizontal="center"/>
      <protection hidden="1"/>
    </xf>
    <xf numFmtId="49" fontId="0" fillId="0" borderId="9" xfId="0" applyNumberFormat="1" applyBorder="1" applyProtection="1">
      <protection hidden="1"/>
    </xf>
    <xf numFmtId="49" fontId="0" fillId="0" borderId="25" xfId="0" applyNumberFormat="1" applyBorder="1" applyProtection="1">
      <protection hidden="1"/>
    </xf>
    <xf numFmtId="49" fontId="0" fillId="0" borderId="26" xfId="0" applyNumberFormat="1" applyBorder="1" applyProtection="1">
      <protection hidden="1"/>
    </xf>
    <xf numFmtId="2" fontId="3" fillId="0" borderId="1" xfId="0" applyNumberFormat="1" applyFont="1" applyBorder="1" applyAlignment="1" applyProtection="1">
      <alignment horizontal="center"/>
      <protection hidden="1"/>
    </xf>
    <xf numFmtId="49" fontId="3" fillId="0" borderId="9" xfId="0" applyNumberFormat="1" applyFont="1" applyBorder="1" applyProtection="1">
      <protection hidden="1"/>
    </xf>
    <xf numFmtId="49" fontId="3" fillId="0" borderId="25" xfId="0" applyNumberFormat="1" applyFont="1" applyBorder="1" applyProtection="1">
      <protection hidden="1"/>
    </xf>
    <xf numFmtId="49" fontId="3" fillId="0" borderId="26" xfId="0" applyNumberFormat="1" applyFont="1" applyBorder="1" applyProtection="1">
      <protection hidden="1"/>
    </xf>
    <xf numFmtId="0" fontId="9" fillId="12" borderId="53" xfId="0" applyFont="1" applyFill="1" applyBorder="1" applyProtection="1">
      <protection locked="0"/>
    </xf>
    <xf numFmtId="9" fontId="4" fillId="0" borderId="52" xfId="0" applyNumberFormat="1" applyFont="1" applyBorder="1" applyProtection="1">
      <protection locked="0"/>
    </xf>
    <xf numFmtId="0" fontId="1" fillId="0" borderId="57" xfId="0" applyFont="1" applyBorder="1"/>
    <xf numFmtId="0" fontId="3" fillId="0" borderId="67" xfId="0" applyFont="1" applyBorder="1"/>
    <xf numFmtId="0" fontId="7" fillId="0" borderId="57" xfId="0" applyFont="1" applyBorder="1"/>
    <xf numFmtId="0" fontId="0" fillId="0" borderId="58" xfId="0" applyBorder="1" applyAlignment="1">
      <alignment horizontal="center"/>
    </xf>
    <xf numFmtId="0" fontId="0" fillId="0" borderId="59" xfId="0" applyBorder="1" applyAlignment="1">
      <alignment horizontal="center"/>
    </xf>
    <xf numFmtId="0" fontId="0" fillId="0" borderId="54" xfId="0" applyBorder="1" applyAlignment="1">
      <alignment horizontal="center"/>
    </xf>
    <xf numFmtId="0" fontId="0" fillId="12" borderId="67" xfId="0" applyFill="1" applyBorder="1" applyAlignment="1">
      <alignment horizontal="center"/>
    </xf>
    <xf numFmtId="0" fontId="0" fillId="0" borderId="62" xfId="0" applyBorder="1"/>
    <xf numFmtId="14" fontId="12" fillId="0" borderId="0" xfId="0" applyNumberFormat="1" applyFont="1"/>
    <xf numFmtId="0" fontId="3" fillId="0" borderId="58" xfId="0" applyFont="1" applyBorder="1"/>
    <xf numFmtId="0" fontId="1" fillId="0" borderId="59" xfId="0" applyFont="1" applyBorder="1"/>
    <xf numFmtId="164" fontId="0" fillId="0" borderId="0" xfId="0" applyNumberFormat="1" applyAlignment="1">
      <alignment horizontal="center" vertical="center"/>
    </xf>
    <xf numFmtId="0" fontId="1" fillId="0" borderId="54" xfId="0" applyFont="1" applyBorder="1" applyAlignment="1">
      <alignment horizontal="center"/>
    </xf>
    <xf numFmtId="0" fontId="0" fillId="12" borderId="0" xfId="0" applyFill="1" applyAlignment="1">
      <alignment horizontal="center"/>
    </xf>
    <xf numFmtId="0" fontId="3" fillId="0" borderId="20" xfId="0" applyFont="1" applyBorder="1"/>
    <xf numFmtId="164" fontId="3" fillId="0" borderId="21" xfId="0" applyNumberFormat="1" applyFont="1" applyBorder="1" applyAlignment="1">
      <alignment horizontal="center" vertical="center"/>
    </xf>
    <xf numFmtId="0" fontId="1" fillId="0" borderId="9" xfId="0" applyFont="1" applyBorder="1"/>
    <xf numFmtId="164" fontId="0" fillId="12" borderId="52" xfId="0" applyNumberFormat="1" applyFill="1" applyBorder="1" applyAlignment="1">
      <alignment horizontal="center"/>
    </xf>
    <xf numFmtId="2" fontId="3" fillId="0" borderId="0" xfId="1" applyNumberFormat="1" applyFont="1" applyFill="1" applyBorder="1" applyProtection="1">
      <protection hidden="1"/>
    </xf>
    <xf numFmtId="20" fontId="4" fillId="0" borderId="2" xfId="0" applyNumberFormat="1" applyFont="1" applyBorder="1" applyAlignment="1" applyProtection="1">
      <alignment horizontal="right"/>
      <protection locked="0"/>
    </xf>
    <xf numFmtId="20" fontId="4" fillId="0" borderId="48" xfId="0" applyNumberFormat="1" applyFont="1" applyBorder="1" applyAlignment="1" applyProtection="1">
      <alignment horizontal="right"/>
      <protection locked="0"/>
    </xf>
    <xf numFmtId="20" fontId="4" fillId="0" borderId="5" xfId="0" applyNumberFormat="1" applyFont="1" applyBorder="1" applyAlignment="1" applyProtection="1">
      <alignment horizontal="right"/>
      <protection locked="0"/>
    </xf>
    <xf numFmtId="20" fontId="4" fillId="0" borderId="4" xfId="0" applyNumberFormat="1" applyFont="1" applyBorder="1" applyAlignment="1" applyProtection="1">
      <alignment horizontal="right"/>
      <protection locked="0"/>
    </xf>
    <xf numFmtId="2" fontId="4" fillId="0" borderId="53" xfId="0" applyNumberFormat="1" applyFont="1" applyBorder="1" applyProtection="1">
      <protection locked="0"/>
    </xf>
    <xf numFmtId="2" fontId="4" fillId="0" borderId="55" xfId="0" applyNumberFormat="1" applyFont="1" applyBorder="1" applyProtection="1">
      <protection locked="0"/>
    </xf>
    <xf numFmtId="2" fontId="3" fillId="6" borderId="1" xfId="0" applyNumberFormat="1" applyFont="1" applyFill="1" applyBorder="1" applyProtection="1">
      <protection hidden="1"/>
    </xf>
    <xf numFmtId="0" fontId="6" fillId="0" borderId="0" xfId="0" applyFont="1" applyProtection="1">
      <protection hidden="1"/>
    </xf>
    <xf numFmtId="0" fontId="19" fillId="0" borderId="0" xfId="0" applyFont="1" applyAlignment="1" applyProtection="1">
      <alignment horizontal="left"/>
      <protection hidden="1"/>
    </xf>
    <xf numFmtId="0" fontId="3" fillId="0" borderId="0" xfId="0" applyFont="1" applyProtection="1">
      <protection hidden="1"/>
    </xf>
    <xf numFmtId="0" fontId="9" fillId="0" borderId="0" xfId="0" applyFont="1" applyProtection="1">
      <protection hidden="1"/>
    </xf>
    <xf numFmtId="0" fontId="8" fillId="7" borderId="53" xfId="0" applyFont="1" applyFill="1" applyBorder="1" applyAlignment="1" applyProtection="1">
      <alignment horizontal="center" vertical="center"/>
      <protection hidden="1"/>
    </xf>
    <xf numFmtId="0" fontId="11" fillId="0" borderId="0" xfId="0" applyFont="1" applyProtection="1">
      <protection hidden="1"/>
    </xf>
    <xf numFmtId="0" fontId="0" fillId="0" borderId="0" xfId="0" applyAlignment="1" applyProtection="1">
      <alignment horizontal="center"/>
      <protection hidden="1"/>
    </xf>
    <xf numFmtId="0" fontId="19" fillId="0" borderId="0" xfId="0" applyFont="1" applyProtection="1">
      <protection hidden="1"/>
    </xf>
    <xf numFmtId="49" fontId="3" fillId="0" borderId="0" xfId="0" applyNumberFormat="1" applyFont="1" applyProtection="1">
      <protection hidden="1"/>
    </xf>
    <xf numFmtId="0" fontId="20" fillId="0" borderId="0" xfId="0" applyFont="1" applyProtection="1">
      <protection hidden="1"/>
    </xf>
    <xf numFmtId="0" fontId="0" fillId="0" borderId="0" xfId="0" applyAlignment="1" applyProtection="1">
      <alignment horizontal="left"/>
      <protection hidden="1"/>
    </xf>
    <xf numFmtId="0" fontId="15" fillId="0" borderId="0" xfId="0" applyFont="1" applyAlignment="1" applyProtection="1">
      <alignment horizontal="left" vertical="center"/>
      <protection hidden="1"/>
    </xf>
    <xf numFmtId="0" fontId="14" fillId="0" borderId="0" xfId="0" applyFont="1" applyAlignment="1" applyProtection="1">
      <alignment horizontal="left"/>
      <protection hidden="1"/>
    </xf>
    <xf numFmtId="0" fontId="3" fillId="0" borderId="0" xfId="0" applyFont="1" applyAlignment="1" applyProtection="1">
      <alignment horizontal="left" vertic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3" fillId="0" borderId="54" xfId="0" applyFont="1" applyBorder="1" applyProtection="1">
      <protection hidden="1"/>
    </xf>
    <xf numFmtId="0" fontId="9" fillId="0" borderId="54" xfId="0" applyFont="1" applyBorder="1" applyProtection="1">
      <protection hidden="1"/>
    </xf>
    <xf numFmtId="0" fontId="29" fillId="0" borderId="0" xfId="0" applyFont="1" applyProtection="1">
      <protection hidden="1"/>
    </xf>
    <xf numFmtId="0" fontId="0" fillId="0" borderId="0" xfId="0" applyAlignment="1" applyProtection="1">
      <alignment vertical="center"/>
      <protection hidden="1"/>
    </xf>
    <xf numFmtId="14" fontId="9" fillId="0" borderId="0" xfId="0" applyNumberFormat="1" applyFont="1" applyAlignment="1" applyProtection="1">
      <alignment horizontal="center"/>
      <protection hidden="1"/>
    </xf>
    <xf numFmtId="4" fontId="9" fillId="0" borderId="0" xfId="0" applyNumberFormat="1" applyFont="1" applyAlignment="1" applyProtection="1">
      <alignment horizontal="center"/>
      <protection hidden="1"/>
    </xf>
    <xf numFmtId="4" fontId="0" fillId="0" borderId="0" xfId="0" applyNumberFormat="1" applyAlignment="1" applyProtection="1">
      <alignment horizontal="center"/>
      <protection hidden="1"/>
    </xf>
    <xf numFmtId="0" fontId="28" fillId="0" borderId="0" xfId="0" applyFont="1" applyProtection="1">
      <protection hidden="1"/>
    </xf>
    <xf numFmtId="0" fontId="1" fillId="0" borderId="0" xfId="0" applyFont="1" applyAlignment="1" applyProtection="1">
      <alignment horizontal="left" vertical="center"/>
      <protection hidden="1"/>
    </xf>
    <xf numFmtId="0" fontId="1" fillId="0" borderId="34" xfId="0" applyFont="1" applyBorder="1" applyAlignment="1" applyProtection="1">
      <alignment horizontal="left" vertical="center"/>
      <protection hidden="1"/>
    </xf>
    <xf numFmtId="0" fontId="4" fillId="0" borderId="80" xfId="0" applyFont="1" applyBorder="1" applyAlignment="1" applyProtection="1">
      <alignment horizontal="center" vertical="top" wrapText="1"/>
      <protection hidden="1"/>
    </xf>
    <xf numFmtId="0" fontId="4" fillId="0" borderId="38" xfId="0" applyFont="1" applyBorder="1" applyAlignment="1" applyProtection="1">
      <alignment horizontal="center" vertical="top" wrapText="1"/>
      <protection hidden="1"/>
    </xf>
    <xf numFmtId="0" fontId="4" fillId="0" borderId="78" xfId="0" applyFont="1" applyBorder="1" applyAlignment="1" applyProtection="1">
      <alignment horizontal="center" vertical="top" wrapText="1"/>
      <protection hidden="1"/>
    </xf>
    <xf numFmtId="0" fontId="3" fillId="0" borderId="39" xfId="0" applyFont="1" applyBorder="1" applyAlignment="1" applyProtection="1">
      <alignment horizontal="left" vertical="center"/>
      <protection hidden="1"/>
    </xf>
    <xf numFmtId="0" fontId="3" fillId="0" borderId="37" xfId="0" applyFont="1" applyBorder="1" applyAlignment="1" applyProtection="1">
      <alignment horizontal="left" vertical="center"/>
      <protection hidden="1"/>
    </xf>
    <xf numFmtId="2" fontId="3" fillId="0" borderId="81" xfId="0" applyNumberFormat="1" applyFont="1" applyBorder="1" applyAlignment="1" applyProtection="1">
      <alignment vertical="center"/>
      <protection hidden="1"/>
    </xf>
    <xf numFmtId="2" fontId="3" fillId="0" borderId="75" xfId="0" applyNumberFormat="1" applyFont="1" applyBorder="1" applyAlignment="1" applyProtection="1">
      <alignment vertical="center"/>
      <protection hidden="1"/>
    </xf>
    <xf numFmtId="2" fontId="3" fillId="5" borderId="81" xfId="0" applyNumberFormat="1" applyFont="1" applyFill="1" applyBorder="1" applyAlignment="1" applyProtection="1">
      <alignment vertical="center"/>
      <protection hidden="1"/>
    </xf>
    <xf numFmtId="2" fontId="3" fillId="5" borderId="75" xfId="0" applyNumberFormat="1" applyFont="1" applyFill="1" applyBorder="1" applyAlignment="1" applyProtection="1">
      <alignment vertical="center"/>
      <protection hidden="1"/>
    </xf>
    <xf numFmtId="2" fontId="3" fillId="5" borderId="76" xfId="0" applyNumberFormat="1" applyFont="1" applyFill="1" applyBorder="1" applyAlignment="1" applyProtection="1">
      <alignment vertical="center"/>
      <protection hidden="1"/>
    </xf>
    <xf numFmtId="0" fontId="3" fillId="0" borderId="40" xfId="0" applyFont="1" applyBorder="1" applyAlignment="1" applyProtection="1">
      <alignment vertical="center"/>
      <protection hidden="1"/>
    </xf>
    <xf numFmtId="0" fontId="3" fillId="0" borderId="62" xfId="0" applyFont="1" applyBorder="1" applyAlignment="1" applyProtection="1">
      <alignment vertical="center"/>
      <protection hidden="1"/>
    </xf>
    <xf numFmtId="2" fontId="3" fillId="0" borderId="82" xfId="0" applyNumberFormat="1" applyFont="1" applyBorder="1" applyAlignment="1" applyProtection="1">
      <alignment vertical="center"/>
      <protection hidden="1"/>
    </xf>
    <xf numFmtId="2" fontId="3" fillId="0" borderId="53" xfId="0" applyNumberFormat="1" applyFont="1" applyBorder="1" applyAlignment="1" applyProtection="1">
      <alignment vertical="center"/>
      <protection hidden="1"/>
    </xf>
    <xf numFmtId="2" fontId="3" fillId="0" borderId="77" xfId="0" applyNumberFormat="1" applyFont="1" applyBorder="1" applyAlignment="1" applyProtection="1">
      <alignment vertical="center"/>
      <protection hidden="1"/>
    </xf>
    <xf numFmtId="2" fontId="3" fillId="5" borderId="82" xfId="0" applyNumberFormat="1" applyFont="1" applyFill="1" applyBorder="1" applyAlignment="1" applyProtection="1">
      <alignment vertical="center"/>
      <protection hidden="1"/>
    </xf>
    <xf numFmtId="2" fontId="3" fillId="5" borderId="53" xfId="0" applyNumberFormat="1" applyFont="1" applyFill="1" applyBorder="1" applyAlignment="1" applyProtection="1">
      <alignment vertical="center"/>
      <protection hidden="1"/>
    </xf>
    <xf numFmtId="2" fontId="3" fillId="5" borderId="77" xfId="0" applyNumberFormat="1" applyFont="1" applyFill="1" applyBorder="1" applyAlignment="1" applyProtection="1">
      <alignment vertical="center"/>
      <protection hidden="1"/>
    </xf>
    <xf numFmtId="2" fontId="1" fillId="0" borderId="80" xfId="0" applyNumberFormat="1" applyFont="1" applyBorder="1" applyAlignment="1" applyProtection="1">
      <alignment vertical="center"/>
      <protection hidden="1"/>
    </xf>
    <xf numFmtId="2" fontId="1" fillId="0" borderId="38" xfId="0" applyNumberFormat="1" applyFont="1" applyBorder="1" applyAlignment="1" applyProtection="1">
      <alignment vertical="center"/>
      <protection hidden="1"/>
    </xf>
    <xf numFmtId="2" fontId="1" fillId="0" borderId="78" xfId="0" applyNumberFormat="1" applyFont="1" applyBorder="1" applyAlignment="1" applyProtection="1">
      <alignment vertical="center"/>
      <protection hidden="1"/>
    </xf>
    <xf numFmtId="2" fontId="3" fillId="0" borderId="83" xfId="0" applyNumberFormat="1" applyFont="1" applyBorder="1" applyAlignment="1" applyProtection="1">
      <alignment vertical="center"/>
      <protection hidden="1"/>
    </xf>
    <xf numFmtId="2" fontId="3" fillId="5" borderId="60" xfId="0" applyNumberFormat="1" applyFont="1" applyFill="1" applyBorder="1" applyProtection="1">
      <protection hidden="1"/>
    </xf>
    <xf numFmtId="2" fontId="3" fillId="0" borderId="74" xfId="0" applyNumberFormat="1" applyFont="1" applyBorder="1" applyAlignment="1" applyProtection="1">
      <alignment horizontal="right" vertical="center"/>
      <protection hidden="1"/>
    </xf>
    <xf numFmtId="2" fontId="3" fillId="5" borderId="60" xfId="0" applyNumberFormat="1" applyFont="1" applyFill="1" applyBorder="1" applyAlignment="1" applyProtection="1">
      <alignment vertical="center"/>
      <protection hidden="1"/>
    </xf>
    <xf numFmtId="2" fontId="3" fillId="0" borderId="74" xfId="0" applyNumberFormat="1" applyFont="1" applyBorder="1" applyAlignment="1" applyProtection="1">
      <alignment vertical="center"/>
      <protection hidden="1"/>
    </xf>
    <xf numFmtId="2" fontId="3" fillId="0" borderId="84" xfId="0" applyNumberFormat="1" applyFont="1" applyBorder="1" applyAlignment="1" applyProtection="1">
      <alignment vertical="center"/>
      <protection hidden="1"/>
    </xf>
    <xf numFmtId="2" fontId="3" fillId="5" borderId="61" xfId="0" applyNumberFormat="1" applyFont="1" applyFill="1" applyBorder="1" applyAlignment="1" applyProtection="1">
      <alignment vertical="center"/>
      <protection hidden="1"/>
    </xf>
    <xf numFmtId="2" fontId="3" fillId="0" borderId="85" xfId="0" applyNumberFormat="1" applyFont="1" applyBorder="1" applyAlignment="1" applyProtection="1">
      <alignment vertical="center"/>
      <protection hidden="1"/>
    </xf>
    <xf numFmtId="2" fontId="0" fillId="0" borderId="83" xfId="0" applyNumberFormat="1" applyBorder="1" applyAlignment="1" applyProtection="1">
      <alignment vertical="center"/>
      <protection hidden="1"/>
    </xf>
    <xf numFmtId="2" fontId="0" fillId="5" borderId="60" xfId="0" applyNumberFormat="1" applyFill="1" applyBorder="1" applyAlignment="1" applyProtection="1">
      <alignment vertical="center"/>
      <protection hidden="1"/>
    </xf>
    <xf numFmtId="2" fontId="0" fillId="0" borderId="74" xfId="0" applyNumberFormat="1" applyBorder="1" applyAlignment="1" applyProtection="1">
      <alignment vertical="center"/>
      <protection hidden="1"/>
    </xf>
    <xf numFmtId="2" fontId="1" fillId="0" borderId="83" xfId="0" applyNumberFormat="1" applyFont="1" applyBorder="1" applyAlignment="1" applyProtection="1">
      <alignment vertical="center"/>
      <protection hidden="1"/>
    </xf>
    <xf numFmtId="2" fontId="1" fillId="0" borderId="74" xfId="0" applyNumberFormat="1" applyFont="1" applyBorder="1" applyAlignment="1" applyProtection="1">
      <alignment vertical="center"/>
      <protection hidden="1"/>
    </xf>
    <xf numFmtId="0" fontId="4" fillId="0" borderId="0" xfId="0" applyFont="1" applyAlignment="1" applyProtection="1">
      <alignment vertical="center" wrapText="1" shrinkToFit="1"/>
      <protection hidden="1"/>
    </xf>
    <xf numFmtId="4" fontId="3" fillId="0" borderId="0" xfId="0" applyNumberFormat="1" applyFont="1" applyAlignment="1" applyProtection="1">
      <alignment vertical="center"/>
      <protection hidden="1"/>
    </xf>
    <xf numFmtId="2" fontId="0" fillId="0" borderId="0" xfId="0" applyNumberFormat="1" applyProtection="1">
      <protection hidden="1"/>
    </xf>
    <xf numFmtId="0" fontId="21" fillId="0" borderId="0" xfId="0" applyFont="1" applyProtection="1">
      <protection hidden="1"/>
    </xf>
    <xf numFmtId="0" fontId="3" fillId="3" borderId="53" xfId="0" applyFont="1" applyFill="1" applyBorder="1" applyProtection="1">
      <protection locked="0"/>
    </xf>
    <xf numFmtId="166" fontId="4" fillId="29" borderId="27" xfId="0" applyNumberFormat="1" applyFont="1" applyFill="1" applyBorder="1" applyProtection="1">
      <protection locked="0"/>
    </xf>
    <xf numFmtId="166" fontId="4" fillId="29" borderId="1" xfId="0" applyNumberFormat="1" applyFont="1" applyFill="1" applyBorder="1" applyProtection="1">
      <protection locked="0"/>
    </xf>
    <xf numFmtId="0" fontId="4" fillId="29" borderId="27" xfId="0" applyFont="1" applyFill="1" applyBorder="1" applyAlignment="1" applyProtection="1">
      <alignment textRotation="90" wrapText="1"/>
      <protection locked="0"/>
    </xf>
    <xf numFmtId="0" fontId="3" fillId="0" borderId="9" xfId="0" applyFont="1" applyBorder="1"/>
    <xf numFmtId="0" fontId="0" fillId="12" borderId="52" xfId="0" applyFill="1" applyBorder="1" applyAlignment="1">
      <alignment horizontal="center"/>
    </xf>
    <xf numFmtId="178" fontId="3" fillId="13" borderId="56" xfId="0" applyNumberFormat="1" applyFont="1" applyFill="1" applyBorder="1" applyProtection="1">
      <protection hidden="1"/>
    </xf>
    <xf numFmtId="178" fontId="3" fillId="13" borderId="53" xfId="0" applyNumberFormat="1" applyFont="1" applyFill="1" applyBorder="1" applyProtection="1">
      <protection hidden="1"/>
    </xf>
    <xf numFmtId="178" fontId="1" fillId="13" borderId="53" xfId="0" applyNumberFormat="1" applyFont="1" applyFill="1" applyBorder="1" applyProtection="1">
      <protection hidden="1"/>
    </xf>
    <xf numFmtId="0" fontId="4" fillId="0" borderId="0" xfId="0" applyFont="1" applyProtection="1">
      <protection hidden="1"/>
    </xf>
    <xf numFmtId="0" fontId="32" fillId="11" borderId="1" xfId="0" applyFont="1" applyFill="1" applyBorder="1" applyAlignment="1" applyProtection="1">
      <alignment vertical="center" wrapText="1"/>
      <protection hidden="1"/>
    </xf>
    <xf numFmtId="164" fontId="4" fillId="11" borderId="1" xfId="0" applyNumberFormat="1" applyFont="1" applyFill="1" applyBorder="1" applyProtection="1">
      <protection hidden="1"/>
    </xf>
    <xf numFmtId="0" fontId="32" fillId="11" borderId="53" xfId="0" applyFont="1" applyFill="1" applyBorder="1" applyAlignment="1" applyProtection="1">
      <alignment vertical="center" wrapText="1"/>
      <protection hidden="1"/>
    </xf>
    <xf numFmtId="164" fontId="4" fillId="11" borderId="53" xfId="0" applyNumberFormat="1" applyFont="1" applyFill="1" applyBorder="1" applyProtection="1">
      <protection hidden="1"/>
    </xf>
    <xf numFmtId="164" fontId="4" fillId="14" borderId="53" xfId="0" applyNumberFormat="1" applyFont="1" applyFill="1" applyBorder="1" applyProtection="1">
      <protection hidden="1"/>
    </xf>
    <xf numFmtId="0" fontId="2" fillId="11" borderId="0" xfId="0" applyFont="1" applyFill="1" applyProtection="1">
      <protection hidden="1"/>
    </xf>
    <xf numFmtId="0" fontId="31" fillId="11" borderId="53" xfId="0" applyFont="1" applyFill="1" applyBorder="1" applyProtection="1">
      <protection hidden="1"/>
    </xf>
    <xf numFmtId="2" fontId="4" fillId="11" borderId="53" xfId="0" applyNumberFormat="1" applyFont="1" applyFill="1" applyBorder="1" applyProtection="1">
      <protection hidden="1"/>
    </xf>
    <xf numFmtId="0" fontId="4" fillId="14" borderId="53" xfId="0" applyFont="1" applyFill="1" applyBorder="1" applyProtection="1">
      <protection hidden="1"/>
    </xf>
    <xf numFmtId="0" fontId="2" fillId="11" borderId="0" xfId="0" applyFont="1" applyFill="1" applyAlignment="1" applyProtection="1">
      <alignment horizontal="left"/>
      <protection hidden="1"/>
    </xf>
    <xf numFmtId="0" fontId="4" fillId="11" borderId="53" xfId="0" applyFont="1" applyFill="1" applyBorder="1" applyProtection="1">
      <protection hidden="1"/>
    </xf>
    <xf numFmtId="0" fontId="2" fillId="0" borderId="0" xfId="0" applyFont="1" applyAlignment="1" applyProtection="1">
      <alignment horizontal="left"/>
      <protection hidden="1"/>
    </xf>
    <xf numFmtId="0" fontId="25" fillId="0" borderId="0" xfId="0" applyFont="1" applyProtection="1">
      <protection hidden="1"/>
    </xf>
    <xf numFmtId="0" fontId="25" fillId="8" borderId="53" xfId="0" applyFont="1" applyFill="1" applyBorder="1" applyAlignment="1" applyProtection="1">
      <alignment horizontal="center"/>
      <protection hidden="1"/>
    </xf>
    <xf numFmtId="0" fontId="4" fillId="8" borderId="53" xfId="0" applyFont="1" applyFill="1" applyBorder="1" applyProtection="1">
      <protection hidden="1"/>
    </xf>
    <xf numFmtId="0" fontId="25" fillId="8" borderId="53" xfId="0" applyFont="1" applyFill="1" applyBorder="1" applyProtection="1">
      <protection hidden="1"/>
    </xf>
    <xf numFmtId="0" fontId="24" fillId="10" borderId="35" xfId="0" applyFont="1" applyFill="1" applyBorder="1" applyAlignment="1" applyProtection="1">
      <alignment horizontal="left" vertical="center"/>
      <protection hidden="1"/>
    </xf>
    <xf numFmtId="0" fontId="24" fillId="10" borderId="63" xfId="0" applyFont="1" applyFill="1" applyBorder="1" applyAlignment="1" applyProtection="1">
      <alignment horizontal="left" vertical="center"/>
      <protection hidden="1"/>
    </xf>
    <xf numFmtId="0" fontId="1" fillId="0" borderId="0" xfId="0" applyFont="1" applyAlignment="1" applyProtection="1">
      <alignment horizontal="left"/>
      <protection hidden="1"/>
    </xf>
    <xf numFmtId="0" fontId="5" fillId="0" borderId="16" xfId="0" applyFont="1" applyBorder="1" applyAlignment="1" applyProtection="1">
      <alignment horizontal="left"/>
      <protection hidden="1"/>
    </xf>
    <xf numFmtId="0" fontId="4" fillId="2" borderId="27" xfId="0" applyFont="1" applyFill="1" applyBorder="1" applyAlignment="1" applyProtection="1">
      <alignment horizontal="center"/>
      <protection hidden="1"/>
    </xf>
    <xf numFmtId="0" fontId="4" fillId="2" borderId="1" xfId="0" applyFont="1" applyFill="1" applyBorder="1" applyAlignment="1" applyProtection="1">
      <alignment horizontal="center"/>
      <protection hidden="1"/>
    </xf>
    <xf numFmtId="0" fontId="0" fillId="10" borderId="36" xfId="0" applyFill="1" applyBorder="1" applyProtection="1">
      <protection hidden="1"/>
    </xf>
    <xf numFmtId="0" fontId="0" fillId="10" borderId="64" xfId="0" applyFill="1" applyBorder="1" applyProtection="1">
      <protection hidden="1"/>
    </xf>
    <xf numFmtId="0" fontId="4" fillId="0" borderId="0" xfId="0" applyFont="1" applyAlignment="1" applyProtection="1">
      <alignment horizontal="center"/>
      <protection hidden="1"/>
    </xf>
    <xf numFmtId="0" fontId="5" fillId="2" borderId="1" xfId="0" applyFont="1" applyFill="1" applyBorder="1" applyAlignment="1" applyProtection="1">
      <alignment horizontal="center"/>
      <protection hidden="1"/>
    </xf>
    <xf numFmtId="167" fontId="4" fillId="2" borderId="27" xfId="0" applyNumberFormat="1" applyFont="1" applyFill="1" applyBorder="1" applyAlignment="1" applyProtection="1">
      <alignment horizontal="center"/>
      <protection hidden="1"/>
    </xf>
    <xf numFmtId="167" fontId="4" fillId="2" borderId="1" xfId="0" applyNumberFormat="1" applyFont="1" applyFill="1" applyBorder="1" applyAlignment="1" applyProtection="1">
      <alignment horizontal="center"/>
      <protection hidden="1"/>
    </xf>
    <xf numFmtId="14" fontId="4" fillId="2" borderId="1" xfId="0" applyNumberFormat="1" applyFont="1" applyFill="1" applyBorder="1" applyAlignment="1" applyProtection="1">
      <alignment horizontal="center"/>
      <protection hidden="1"/>
    </xf>
    <xf numFmtId="0" fontId="1" fillId="0" borderId="0" xfId="0" applyFont="1" applyAlignment="1" applyProtection="1">
      <alignment horizontal="center"/>
      <protection hidden="1"/>
    </xf>
    <xf numFmtId="0" fontId="1" fillId="4" borderId="1" xfId="0" applyFont="1" applyFill="1" applyBorder="1" applyAlignment="1" applyProtection="1">
      <alignment horizontal="center"/>
      <protection hidden="1"/>
    </xf>
    <xf numFmtId="0" fontId="5" fillId="4" borderId="16" xfId="0" applyFont="1" applyFill="1" applyBorder="1" applyAlignment="1" applyProtection="1">
      <alignment horizontal="center"/>
      <protection hidden="1"/>
    </xf>
    <xf numFmtId="167" fontId="5" fillId="4" borderId="27" xfId="0" applyNumberFormat="1" applyFont="1" applyFill="1" applyBorder="1" applyAlignment="1" applyProtection="1">
      <alignment horizontal="center"/>
      <protection hidden="1"/>
    </xf>
    <xf numFmtId="14" fontId="5" fillId="4" borderId="1" xfId="0" applyNumberFormat="1" applyFont="1" applyFill="1" applyBorder="1" applyAlignment="1" applyProtection="1">
      <alignment horizontal="center"/>
      <protection hidden="1"/>
    </xf>
    <xf numFmtId="14" fontId="4" fillId="4" borderId="1" xfId="0" applyNumberFormat="1" applyFont="1" applyFill="1" applyBorder="1" applyAlignment="1" applyProtection="1">
      <alignment horizontal="center"/>
      <protection hidden="1"/>
    </xf>
    <xf numFmtId="2" fontId="4" fillId="0" borderId="0" xfId="0" applyNumberFormat="1" applyFont="1" applyAlignment="1" applyProtection="1">
      <alignment horizontal="center"/>
      <protection hidden="1"/>
    </xf>
    <xf numFmtId="2" fontId="4" fillId="2" borderId="1" xfId="0" applyNumberFormat="1" applyFont="1" applyFill="1" applyBorder="1" applyAlignment="1" applyProtection="1">
      <alignment horizontal="center"/>
      <protection hidden="1"/>
    </xf>
    <xf numFmtId="168" fontId="4" fillId="2" borderId="27" xfId="0" applyNumberFormat="1" applyFont="1" applyFill="1" applyBorder="1" applyAlignment="1" applyProtection="1">
      <alignment horizontal="center"/>
      <protection hidden="1"/>
    </xf>
    <xf numFmtId="2" fontId="4" fillId="2" borderId="1" xfId="0" applyNumberFormat="1" applyFont="1" applyFill="1" applyBorder="1" applyAlignment="1" applyProtection="1">
      <alignment horizontal="right"/>
      <protection hidden="1"/>
    </xf>
    <xf numFmtId="168" fontId="4" fillId="2" borderId="1" xfId="0" applyNumberFormat="1" applyFont="1" applyFill="1" applyBorder="1" applyAlignment="1" applyProtection="1">
      <alignment horizontal="center"/>
      <protection hidden="1"/>
    </xf>
    <xf numFmtId="0" fontId="1" fillId="4" borderId="6" xfId="0" applyFont="1" applyFill="1" applyBorder="1" applyAlignment="1" applyProtection="1">
      <alignment horizontal="center"/>
      <protection hidden="1"/>
    </xf>
    <xf numFmtId="0" fontId="5" fillId="4" borderId="6" xfId="0" applyFont="1" applyFill="1" applyBorder="1" applyAlignment="1" applyProtection="1">
      <alignment horizontal="center"/>
      <protection hidden="1"/>
    </xf>
    <xf numFmtId="0" fontId="4" fillId="4" borderId="27" xfId="0" applyFont="1" applyFill="1" applyBorder="1" applyAlignment="1" applyProtection="1">
      <alignment horizontal="center"/>
      <protection hidden="1"/>
    </xf>
    <xf numFmtId="14" fontId="4" fillId="4" borderId="31" xfId="0" applyNumberFormat="1" applyFont="1" applyFill="1" applyBorder="1" applyAlignment="1" applyProtection="1">
      <alignment horizontal="center"/>
      <protection hidden="1"/>
    </xf>
    <xf numFmtId="2" fontId="4" fillId="0" borderId="0" xfId="0" applyNumberFormat="1" applyFont="1" applyAlignment="1" applyProtection="1">
      <alignment horizontal="right"/>
      <protection hidden="1"/>
    </xf>
    <xf numFmtId="2" fontId="4" fillId="2" borderId="2" xfId="0" applyNumberFormat="1" applyFont="1" applyFill="1" applyBorder="1" applyAlignment="1" applyProtection="1">
      <alignment horizontal="center"/>
      <protection hidden="1"/>
    </xf>
    <xf numFmtId="20" fontId="4" fillId="0" borderId="22" xfId="0" applyNumberFormat="1" applyFont="1" applyBorder="1" applyAlignment="1" applyProtection="1">
      <alignment horizontal="right"/>
      <protection hidden="1"/>
    </xf>
    <xf numFmtId="20" fontId="4" fillId="0" borderId="2" xfId="0" applyNumberFormat="1" applyFont="1" applyBorder="1" applyAlignment="1" applyProtection="1">
      <alignment horizontal="right"/>
      <protection hidden="1"/>
    </xf>
    <xf numFmtId="2" fontId="4" fillId="2" borderId="31" xfId="0" applyNumberFormat="1" applyFont="1" applyFill="1" applyBorder="1" applyAlignment="1" applyProtection="1">
      <alignment horizontal="right"/>
      <protection hidden="1"/>
    </xf>
    <xf numFmtId="2" fontId="4" fillId="2" borderId="48" xfId="0" applyNumberFormat="1" applyFont="1" applyFill="1" applyBorder="1" applyAlignment="1" applyProtection="1">
      <alignment horizontal="center"/>
      <protection hidden="1"/>
    </xf>
    <xf numFmtId="20" fontId="4" fillId="0" borderId="49" xfId="0" applyNumberFormat="1" applyFont="1" applyBorder="1" applyAlignment="1" applyProtection="1">
      <alignment horizontal="right"/>
      <protection hidden="1"/>
    </xf>
    <xf numFmtId="20" fontId="4" fillId="0" borderId="48" xfId="0" applyNumberFormat="1" applyFont="1" applyBorder="1" applyAlignment="1" applyProtection="1">
      <alignment horizontal="right"/>
      <protection hidden="1"/>
    </xf>
    <xf numFmtId="2" fontId="4" fillId="2" borderId="23" xfId="0" applyNumberFormat="1" applyFont="1" applyFill="1" applyBorder="1" applyAlignment="1" applyProtection="1">
      <alignment horizontal="right"/>
      <protection hidden="1"/>
    </xf>
    <xf numFmtId="2" fontId="4" fillId="2" borderId="5" xfId="0" applyNumberFormat="1" applyFont="1" applyFill="1" applyBorder="1" applyAlignment="1" applyProtection="1">
      <alignment horizontal="center"/>
      <protection hidden="1"/>
    </xf>
    <xf numFmtId="20" fontId="4" fillId="0" borderId="17" xfId="0" applyNumberFormat="1" applyFont="1" applyBorder="1" applyAlignment="1" applyProtection="1">
      <alignment horizontal="right"/>
      <protection hidden="1"/>
    </xf>
    <xf numFmtId="20" fontId="4" fillId="0" borderId="5" xfId="0" applyNumberFormat="1" applyFont="1" applyBorder="1" applyAlignment="1" applyProtection="1">
      <alignment horizontal="right"/>
      <protection hidden="1"/>
    </xf>
    <xf numFmtId="0" fontId="1" fillId="0" borderId="35" xfId="0" applyFont="1" applyBorder="1" applyProtection="1">
      <protection hidden="1"/>
    </xf>
    <xf numFmtId="0" fontId="0" fillId="0" borderId="63" xfId="0" applyBorder="1" applyProtection="1">
      <protection hidden="1"/>
    </xf>
    <xf numFmtId="2" fontId="4" fillId="0" borderId="44" xfId="0" applyNumberFormat="1" applyFont="1" applyBorder="1" applyAlignment="1" applyProtection="1">
      <alignment horizontal="left" vertical="center" wrapText="1"/>
      <protection hidden="1"/>
    </xf>
    <xf numFmtId="2" fontId="1" fillId="0" borderId="46" xfId="0" applyNumberFormat="1" applyFont="1" applyBorder="1" applyAlignment="1" applyProtection="1">
      <alignment vertical="center"/>
      <protection hidden="1"/>
    </xf>
    <xf numFmtId="2" fontId="4" fillId="2" borderId="4" xfId="0" applyNumberFormat="1" applyFont="1" applyFill="1" applyBorder="1" applyAlignment="1" applyProtection="1">
      <alignment horizontal="center"/>
      <protection hidden="1"/>
    </xf>
    <xf numFmtId="20" fontId="4" fillId="0" borderId="50" xfId="0" applyNumberFormat="1" applyFont="1" applyBorder="1" applyAlignment="1" applyProtection="1">
      <alignment horizontal="right"/>
      <protection hidden="1"/>
    </xf>
    <xf numFmtId="20" fontId="4" fillId="0" borderId="4" xfId="0" applyNumberFormat="1" applyFont="1" applyBorder="1" applyAlignment="1" applyProtection="1">
      <alignment horizontal="right"/>
      <protection hidden="1"/>
    </xf>
    <xf numFmtId="2" fontId="4" fillId="0" borderId="45" xfId="0" applyNumberFormat="1" applyFont="1" applyBorder="1" applyAlignment="1" applyProtection="1">
      <alignment horizontal="left" vertical="center" wrapText="1"/>
      <protection hidden="1"/>
    </xf>
    <xf numFmtId="2" fontId="1" fillId="0" borderId="47" xfId="0" applyNumberFormat="1" applyFont="1" applyBorder="1" applyAlignment="1" applyProtection="1">
      <alignment vertical="center"/>
      <protection hidden="1"/>
    </xf>
    <xf numFmtId="2" fontId="4" fillId="0" borderId="27" xfId="0" applyNumberFormat="1" applyFont="1" applyBorder="1" applyProtection="1">
      <protection hidden="1"/>
    </xf>
    <xf numFmtId="2" fontId="4" fillId="0" borderId="53" xfId="0" applyNumberFormat="1" applyFont="1" applyBorder="1" applyProtection="1">
      <protection hidden="1"/>
    </xf>
    <xf numFmtId="2" fontId="4" fillId="2" borderId="23" xfId="0" applyNumberFormat="1" applyFont="1" applyFill="1" applyBorder="1" applyProtection="1">
      <protection hidden="1"/>
    </xf>
    <xf numFmtId="2" fontId="4" fillId="2" borderId="6" xfId="0" applyNumberFormat="1" applyFont="1" applyFill="1" applyBorder="1" applyAlignment="1" applyProtection="1">
      <alignment horizontal="center"/>
      <protection hidden="1"/>
    </xf>
    <xf numFmtId="2" fontId="4" fillId="0" borderId="21" xfId="0" applyNumberFormat="1" applyFont="1" applyBorder="1" applyProtection="1">
      <protection hidden="1"/>
    </xf>
    <xf numFmtId="2" fontId="4" fillId="0" borderId="55" xfId="0" applyNumberFormat="1" applyFont="1" applyBorder="1" applyProtection="1">
      <protection hidden="1"/>
    </xf>
    <xf numFmtId="2" fontId="4" fillId="2" borderId="6" xfId="0" applyNumberFormat="1" applyFont="1" applyFill="1" applyBorder="1" applyProtection="1">
      <protection hidden="1"/>
    </xf>
    <xf numFmtId="2" fontId="4" fillId="0" borderId="0" xfId="0" applyNumberFormat="1" applyFont="1" applyAlignment="1" applyProtection="1">
      <alignment horizontal="left"/>
      <protection hidden="1"/>
    </xf>
    <xf numFmtId="2" fontId="1" fillId="4" borderId="1" xfId="0" applyNumberFormat="1" applyFont="1" applyFill="1" applyBorder="1" applyAlignment="1" applyProtection="1">
      <alignment horizontal="center"/>
      <protection hidden="1"/>
    </xf>
    <xf numFmtId="2" fontId="5" fillId="4" borderId="1" xfId="0" applyNumberFormat="1" applyFont="1" applyFill="1" applyBorder="1" applyAlignment="1" applyProtection="1">
      <alignment horizontal="center"/>
      <protection hidden="1"/>
    </xf>
    <xf numFmtId="2" fontId="4" fillId="4" borderId="27" xfId="0" applyNumberFormat="1" applyFont="1" applyFill="1" applyBorder="1" applyAlignment="1" applyProtection="1">
      <alignment horizontal="right"/>
      <protection hidden="1"/>
    </xf>
    <xf numFmtId="2" fontId="4" fillId="4" borderId="1" xfId="0" applyNumberFormat="1" applyFont="1" applyFill="1" applyBorder="1" applyAlignment="1" applyProtection="1">
      <alignment horizontal="right"/>
      <protection hidden="1"/>
    </xf>
    <xf numFmtId="2" fontId="4" fillId="4" borderId="9" xfId="0" applyNumberFormat="1" applyFont="1" applyFill="1" applyBorder="1" applyAlignment="1" applyProtection="1">
      <alignment horizontal="right"/>
      <protection hidden="1"/>
    </xf>
    <xf numFmtId="2" fontId="4" fillId="4" borderId="0" xfId="0" applyNumberFormat="1" applyFont="1" applyFill="1" applyAlignment="1" applyProtection="1">
      <alignment horizontal="right"/>
      <protection hidden="1"/>
    </xf>
    <xf numFmtId="2" fontId="3" fillId="0" borderId="0" xfId="0" applyNumberFormat="1" applyFont="1" applyAlignment="1" applyProtection="1">
      <alignment horizontal="right"/>
      <protection hidden="1"/>
    </xf>
    <xf numFmtId="2" fontId="4" fillId="2" borderId="1" xfId="0" applyNumberFormat="1" applyFont="1" applyFill="1" applyBorder="1" applyProtection="1">
      <protection hidden="1"/>
    </xf>
    <xf numFmtId="2" fontId="3" fillId="0" borderId="65" xfId="0" applyNumberFormat="1" applyFont="1" applyBorder="1" applyAlignment="1" applyProtection="1">
      <alignment horizontal="left" vertical="center" wrapText="1"/>
      <protection hidden="1"/>
    </xf>
    <xf numFmtId="2" fontId="1" fillId="0" borderId="66" xfId="0" applyNumberFormat="1" applyFont="1" applyBorder="1" applyAlignment="1" applyProtection="1">
      <alignment horizontal="center" vertical="center"/>
      <protection hidden="1"/>
    </xf>
    <xf numFmtId="2" fontId="4" fillId="0" borderId="0" xfId="0" applyNumberFormat="1" applyFont="1" applyProtection="1">
      <protection hidden="1"/>
    </xf>
    <xf numFmtId="0" fontId="1" fillId="4" borderId="1" xfId="0" applyFont="1" applyFill="1" applyBorder="1" applyProtection="1">
      <protection hidden="1"/>
    </xf>
    <xf numFmtId="0" fontId="5" fillId="4" borderId="1" xfId="0" applyFont="1" applyFill="1" applyBorder="1" applyProtection="1">
      <protection hidden="1"/>
    </xf>
    <xf numFmtId="0" fontId="4" fillId="4" borderId="27" xfId="0" applyFont="1" applyFill="1" applyBorder="1" applyProtection="1">
      <protection hidden="1"/>
    </xf>
    <xf numFmtId="0" fontId="4" fillId="4" borderId="1" xfId="0" applyFont="1" applyFill="1" applyBorder="1" applyProtection="1">
      <protection hidden="1"/>
    </xf>
    <xf numFmtId="2" fontId="4" fillId="0" borderId="52" xfId="0" applyNumberFormat="1" applyFont="1" applyBorder="1" applyProtection="1">
      <protection hidden="1"/>
    </xf>
    <xf numFmtId="2" fontId="4" fillId="0" borderId="0" xfId="0" applyNumberFormat="1" applyFont="1" applyAlignment="1" applyProtection="1">
      <alignment horizontal="left" vertical="center" wrapText="1"/>
      <protection hidden="1"/>
    </xf>
    <xf numFmtId="2" fontId="1" fillId="0" borderId="0" xfId="0" applyNumberFormat="1" applyFont="1" applyAlignment="1" applyProtection="1">
      <alignment horizontal="center" vertical="center"/>
      <protection hidden="1"/>
    </xf>
    <xf numFmtId="9" fontId="4" fillId="0" borderId="52" xfId="0" applyNumberFormat="1" applyFont="1" applyBorder="1" applyProtection="1">
      <protection hidden="1"/>
    </xf>
    <xf numFmtId="2" fontId="12" fillId="0" borderId="0" xfId="0" applyNumberFormat="1" applyFont="1" applyAlignment="1" applyProtection="1">
      <alignment horizontal="left" vertical="center" wrapText="1"/>
      <protection hidden="1"/>
    </xf>
    <xf numFmtId="2" fontId="4" fillId="2" borderId="53" xfId="0" applyNumberFormat="1" applyFont="1" applyFill="1" applyBorder="1" applyAlignment="1" applyProtection="1">
      <alignment horizontal="center"/>
      <protection hidden="1"/>
    </xf>
    <xf numFmtId="2" fontId="4" fillId="2" borderId="53" xfId="0" applyNumberFormat="1" applyFont="1" applyFill="1" applyBorder="1" applyProtection="1">
      <protection hidden="1"/>
    </xf>
    <xf numFmtId="2" fontId="4" fillId="30" borderId="53" xfId="0" applyNumberFormat="1" applyFont="1" applyFill="1" applyBorder="1" applyAlignment="1" applyProtection="1">
      <alignment horizontal="center"/>
      <protection hidden="1"/>
    </xf>
    <xf numFmtId="168" fontId="4" fillId="30" borderId="52" xfId="0" applyNumberFormat="1" applyFont="1" applyFill="1" applyBorder="1" applyProtection="1">
      <protection hidden="1"/>
    </xf>
    <xf numFmtId="2" fontId="5" fillId="30" borderId="53" xfId="0" applyNumberFormat="1" applyFont="1" applyFill="1" applyBorder="1" applyProtection="1">
      <protection hidden="1"/>
    </xf>
    <xf numFmtId="168" fontId="0" fillId="0" borderId="0" xfId="0" applyNumberFormat="1" applyProtection="1">
      <protection hidden="1"/>
    </xf>
    <xf numFmtId="2" fontId="4" fillId="30" borderId="56" xfId="0" applyNumberFormat="1" applyFont="1" applyFill="1" applyBorder="1" applyAlignment="1" applyProtection="1">
      <alignment horizontal="center"/>
      <protection hidden="1"/>
    </xf>
    <xf numFmtId="168" fontId="4" fillId="25" borderId="52" xfId="0" applyNumberFormat="1" applyFont="1" applyFill="1" applyBorder="1" applyProtection="1">
      <protection hidden="1"/>
    </xf>
    <xf numFmtId="2" fontId="5" fillId="25" borderId="53" xfId="0" applyNumberFormat="1" applyFont="1" applyFill="1" applyBorder="1" applyProtection="1">
      <protection hidden="1"/>
    </xf>
    <xf numFmtId="2" fontId="4" fillId="14" borderId="53" xfId="0" applyNumberFormat="1" applyFont="1" applyFill="1" applyBorder="1" applyAlignment="1" applyProtection="1">
      <alignment horizontal="center"/>
      <protection hidden="1"/>
    </xf>
    <xf numFmtId="168" fontId="4" fillId="14" borderId="52" xfId="0" applyNumberFormat="1" applyFont="1" applyFill="1" applyBorder="1" applyProtection="1">
      <protection hidden="1"/>
    </xf>
    <xf numFmtId="2" fontId="5" fillId="14" borderId="53" xfId="0" applyNumberFormat="1" applyFont="1" applyFill="1" applyBorder="1" applyProtection="1">
      <protection hidden="1"/>
    </xf>
    <xf numFmtId="0" fontId="3" fillId="0" borderId="0" xfId="0" applyFont="1" applyAlignment="1" applyProtection="1">
      <alignment horizontal="right"/>
      <protection hidden="1"/>
    </xf>
    <xf numFmtId="168" fontId="4" fillId="14" borderId="52" xfId="0" applyNumberFormat="1" applyFont="1" applyFill="1" applyBorder="1" applyAlignment="1" applyProtection="1">
      <alignment horizontal="left"/>
      <protection hidden="1"/>
    </xf>
    <xf numFmtId="2" fontId="20" fillId="0" borderId="0" xfId="0" applyNumberFormat="1" applyFont="1" applyProtection="1">
      <protection hidden="1"/>
    </xf>
    <xf numFmtId="2" fontId="4" fillId="14" borderId="56" xfId="0" applyNumberFormat="1" applyFont="1" applyFill="1" applyBorder="1" applyAlignment="1" applyProtection="1">
      <alignment horizontal="center"/>
      <protection hidden="1"/>
    </xf>
    <xf numFmtId="2" fontId="4" fillId="14" borderId="53" xfId="0" applyNumberFormat="1" applyFont="1" applyFill="1" applyBorder="1" applyProtection="1">
      <protection hidden="1"/>
    </xf>
    <xf numFmtId="2" fontId="4" fillId="14" borderId="55" xfId="0" applyNumberFormat="1" applyFont="1" applyFill="1" applyBorder="1" applyAlignment="1" applyProtection="1">
      <alignment horizontal="center"/>
      <protection hidden="1"/>
    </xf>
    <xf numFmtId="2" fontId="4" fillId="15" borderId="53" xfId="0" applyNumberFormat="1" applyFont="1" applyFill="1" applyBorder="1" applyAlignment="1" applyProtection="1">
      <alignment horizontal="center"/>
      <protection hidden="1"/>
    </xf>
    <xf numFmtId="177" fontId="4" fillId="15" borderId="52" xfId="0" applyNumberFormat="1" applyFont="1" applyFill="1" applyBorder="1" applyProtection="1">
      <protection hidden="1"/>
    </xf>
    <xf numFmtId="2" fontId="5" fillId="15" borderId="53" xfId="0" applyNumberFormat="1" applyFont="1" applyFill="1" applyBorder="1" applyProtection="1">
      <protection hidden="1"/>
    </xf>
    <xf numFmtId="2" fontId="1" fillId="15" borderId="23" xfId="0" applyNumberFormat="1" applyFont="1" applyFill="1" applyBorder="1" applyAlignment="1" applyProtection="1">
      <alignment vertical="center" textRotation="90" wrapText="1"/>
      <protection hidden="1"/>
    </xf>
    <xf numFmtId="2" fontId="5" fillId="15" borderId="53" xfId="0" applyNumberFormat="1" applyFont="1" applyFill="1" applyBorder="1" applyAlignment="1" applyProtection="1">
      <alignment horizontal="center"/>
      <protection hidden="1"/>
    </xf>
    <xf numFmtId="177" fontId="5" fillId="15" borderId="52" xfId="0" applyNumberFormat="1" applyFont="1" applyFill="1" applyBorder="1" applyProtection="1">
      <protection hidden="1"/>
    </xf>
    <xf numFmtId="177" fontId="18" fillId="15" borderId="52" xfId="0" applyNumberFormat="1" applyFont="1" applyFill="1" applyBorder="1" applyProtection="1">
      <protection hidden="1"/>
    </xf>
    <xf numFmtId="2" fontId="1" fillId="15" borderId="55" xfId="0" applyNumberFormat="1" applyFont="1" applyFill="1" applyBorder="1" applyAlignment="1" applyProtection="1">
      <alignment vertical="center" textRotation="90" wrapText="1"/>
      <protection hidden="1"/>
    </xf>
    <xf numFmtId="177" fontId="4" fillId="4" borderId="27" xfId="0" applyNumberFormat="1" applyFont="1" applyFill="1" applyBorder="1" applyProtection="1">
      <protection hidden="1"/>
    </xf>
    <xf numFmtId="177" fontId="4" fillId="4" borderId="1" xfId="0" applyNumberFormat="1" applyFont="1" applyFill="1" applyBorder="1" applyProtection="1">
      <protection hidden="1"/>
    </xf>
    <xf numFmtId="2" fontId="4" fillId="2" borderId="27" xfId="0" applyNumberFormat="1" applyFont="1" applyFill="1" applyBorder="1" applyAlignment="1" applyProtection="1">
      <alignment shrinkToFit="1"/>
      <protection hidden="1"/>
    </xf>
    <xf numFmtId="2" fontId="4" fillId="2" borderId="1" xfId="0" applyNumberFormat="1" applyFont="1" applyFill="1" applyBorder="1" applyAlignment="1" applyProtection="1">
      <alignment shrinkToFit="1"/>
      <protection hidden="1"/>
    </xf>
    <xf numFmtId="2" fontId="5" fillId="2" borderId="1" xfId="0" applyNumberFormat="1" applyFont="1" applyFill="1" applyBorder="1" applyAlignment="1" applyProtection="1">
      <alignment shrinkToFit="1"/>
      <protection hidden="1"/>
    </xf>
    <xf numFmtId="2" fontId="4" fillId="2" borderId="27" xfId="0" applyNumberFormat="1" applyFont="1" applyFill="1" applyBorder="1" applyProtection="1">
      <protection hidden="1"/>
    </xf>
    <xf numFmtId="2" fontId="5" fillId="2" borderId="1" xfId="0" applyNumberFormat="1" applyFont="1" applyFill="1" applyBorder="1" applyProtection="1">
      <protection hidden="1"/>
    </xf>
    <xf numFmtId="0" fontId="1" fillId="2" borderId="1" xfId="0" applyFont="1" applyFill="1" applyBorder="1" applyAlignment="1" applyProtection="1">
      <alignment vertical="center"/>
      <protection hidden="1"/>
    </xf>
    <xf numFmtId="0" fontId="5" fillId="2" borderId="1" xfId="0" applyFont="1" applyFill="1" applyBorder="1" applyProtection="1">
      <protection hidden="1"/>
    </xf>
    <xf numFmtId="0" fontId="25" fillId="9" borderId="27" xfId="0" applyFont="1" applyFill="1" applyBorder="1" applyAlignment="1" applyProtection="1">
      <alignment vertical="center" wrapText="1"/>
      <protection hidden="1"/>
    </xf>
    <xf numFmtId="0" fontId="4" fillId="2" borderId="1" xfId="0" applyFont="1" applyFill="1" applyBorder="1" applyProtection="1">
      <protection hidden="1"/>
    </xf>
    <xf numFmtId="166" fontId="4" fillId="29" borderId="1" xfId="0" applyNumberFormat="1" applyFont="1" applyFill="1" applyBorder="1" applyProtection="1">
      <protection hidden="1"/>
    </xf>
    <xf numFmtId="2" fontId="4" fillId="8" borderId="1" xfId="0" applyNumberFormat="1" applyFont="1" applyFill="1" applyBorder="1" applyProtection="1">
      <protection hidden="1"/>
    </xf>
    <xf numFmtId="2" fontId="1" fillId="0" borderId="0" xfId="0" applyNumberFormat="1" applyFont="1" applyAlignment="1" applyProtection="1">
      <alignment vertical="center"/>
      <protection hidden="1"/>
    </xf>
    <xf numFmtId="2" fontId="3" fillId="0" borderId="0" xfId="0" applyNumberFormat="1" applyFont="1" applyAlignment="1" applyProtection="1">
      <alignment horizontal="left" vertical="center" wrapText="1"/>
      <protection hidden="1"/>
    </xf>
    <xf numFmtId="166" fontId="4" fillId="8" borderId="27" xfId="0" applyNumberFormat="1" applyFont="1" applyFill="1" applyBorder="1" applyProtection="1">
      <protection hidden="1"/>
    </xf>
    <xf numFmtId="0" fontId="4" fillId="29" borderId="27" xfId="0" applyFont="1" applyFill="1" applyBorder="1" applyAlignment="1" applyProtection="1">
      <alignment textRotation="90" wrapText="1"/>
      <protection hidden="1"/>
    </xf>
    <xf numFmtId="0" fontId="1" fillId="0" borderId="1" xfId="0" applyFont="1" applyBorder="1" applyAlignment="1" applyProtection="1">
      <alignment vertical="center"/>
      <protection hidden="1"/>
    </xf>
    <xf numFmtId="2" fontId="3" fillId="0" borderId="1" xfId="0" applyNumberFormat="1" applyFont="1" applyBorder="1" applyAlignment="1" applyProtection="1">
      <alignment vertical="center"/>
      <protection hidden="1"/>
    </xf>
    <xf numFmtId="49" fontId="0" fillId="0" borderId="1" xfId="0" applyNumberFormat="1" applyBorder="1" applyAlignment="1" applyProtection="1">
      <alignment vertical="center"/>
      <protection hidden="1"/>
    </xf>
    <xf numFmtId="0" fontId="24" fillId="0" borderId="0" xfId="0" applyFont="1" applyAlignment="1" applyProtection="1">
      <alignment horizontal="left" vertical="center"/>
      <protection hidden="1"/>
    </xf>
    <xf numFmtId="49" fontId="1" fillId="0" borderId="1" xfId="0" applyNumberFormat="1" applyFont="1" applyBorder="1" applyAlignment="1" applyProtection="1">
      <alignment vertical="center"/>
      <protection hidden="1"/>
    </xf>
    <xf numFmtId="2" fontId="1" fillId="0" borderId="1" xfId="0" applyNumberFormat="1" applyFont="1" applyBorder="1" applyAlignment="1" applyProtection="1">
      <alignment vertical="center"/>
      <protection hidden="1"/>
    </xf>
    <xf numFmtId="0" fontId="36" fillId="0" borderId="0" xfId="2" applyFont="1" applyBorder="1" applyAlignment="1" applyProtection="1">
      <alignment horizontal="left" vertical="center"/>
      <protection hidden="1"/>
    </xf>
    <xf numFmtId="0" fontId="30" fillId="0" borderId="0" xfId="0" applyFont="1" applyProtection="1">
      <protection hidden="1"/>
    </xf>
    <xf numFmtId="164" fontId="5" fillId="11" borderId="1" xfId="0" applyNumberFormat="1" applyFont="1" applyFill="1" applyBorder="1" applyProtection="1">
      <protection hidden="1"/>
    </xf>
    <xf numFmtId="164" fontId="4" fillId="11" borderId="9" xfId="0" applyNumberFormat="1" applyFont="1" applyFill="1" applyBorder="1" applyProtection="1">
      <protection hidden="1"/>
    </xf>
    <xf numFmtId="164" fontId="5" fillId="11" borderId="86" xfId="0" applyNumberFormat="1" applyFont="1" applyFill="1" applyBorder="1" applyProtection="1">
      <protection hidden="1"/>
    </xf>
    <xf numFmtId="0" fontId="5" fillId="0" borderId="55" xfId="0" applyFont="1" applyBorder="1" applyAlignment="1" applyProtection="1">
      <alignment horizontal="left"/>
      <protection hidden="1"/>
    </xf>
    <xf numFmtId="164" fontId="4" fillId="0" borderId="53" xfId="0" applyNumberFormat="1" applyFont="1" applyBorder="1" applyProtection="1">
      <protection hidden="1"/>
    </xf>
    <xf numFmtId="164" fontId="5" fillId="8" borderId="1" xfId="0" applyNumberFormat="1" applyFont="1" applyFill="1" applyBorder="1" applyProtection="1">
      <protection hidden="1"/>
    </xf>
    <xf numFmtId="164" fontId="4" fillId="8" borderId="53" xfId="0" applyNumberFormat="1" applyFont="1" applyFill="1" applyBorder="1" applyProtection="1">
      <protection hidden="1"/>
    </xf>
    <xf numFmtId="2" fontId="4" fillId="8" borderId="1" xfId="0" applyNumberFormat="1" applyFont="1" applyFill="1" applyBorder="1" applyAlignment="1" applyProtection="1">
      <alignment horizontal="center"/>
      <protection hidden="1"/>
    </xf>
    <xf numFmtId="164" fontId="4" fillId="8" borderId="1" xfId="0" applyNumberFormat="1" applyFont="1" applyFill="1" applyBorder="1" applyProtection="1">
      <protection hidden="1"/>
    </xf>
    <xf numFmtId="0" fontId="4" fillId="8" borderId="1" xfId="0" applyFont="1" applyFill="1" applyBorder="1" applyAlignment="1" applyProtection="1">
      <alignment horizontal="center"/>
      <protection hidden="1"/>
    </xf>
    <xf numFmtId="2" fontId="4" fillId="8" borderId="53" xfId="0" applyNumberFormat="1" applyFont="1" applyFill="1" applyBorder="1" applyAlignment="1" applyProtection="1">
      <alignment horizontal="center"/>
      <protection hidden="1"/>
    </xf>
    <xf numFmtId="164" fontId="4" fillId="30" borderId="1" xfId="0" applyNumberFormat="1" applyFont="1" applyFill="1" applyBorder="1" applyProtection="1">
      <protection hidden="1"/>
    </xf>
    <xf numFmtId="164" fontId="5" fillId="30" borderId="1" xfId="0" applyNumberFormat="1" applyFont="1" applyFill="1" applyBorder="1" applyProtection="1">
      <protection hidden="1"/>
    </xf>
    <xf numFmtId="164" fontId="4" fillId="30" borderId="56" xfId="0" applyNumberFormat="1" applyFont="1" applyFill="1" applyBorder="1" applyProtection="1">
      <protection hidden="1"/>
    </xf>
    <xf numFmtId="164" fontId="5" fillId="30" borderId="56" xfId="0" applyNumberFormat="1" applyFont="1" applyFill="1" applyBorder="1" applyProtection="1">
      <protection hidden="1"/>
    </xf>
    <xf numFmtId="164" fontId="4" fillId="27" borderId="53" xfId="0" applyNumberFormat="1" applyFont="1" applyFill="1" applyBorder="1" applyProtection="1">
      <protection hidden="1"/>
    </xf>
    <xf numFmtId="164" fontId="4" fillId="11" borderId="55" xfId="0" applyNumberFormat="1" applyFont="1" applyFill="1" applyBorder="1" applyProtection="1">
      <protection hidden="1"/>
    </xf>
    <xf numFmtId="164" fontId="4" fillId="11" borderId="20" xfId="0" applyNumberFormat="1" applyFont="1" applyFill="1" applyBorder="1" applyProtection="1">
      <protection hidden="1"/>
    </xf>
    <xf numFmtId="164" fontId="5" fillId="11" borderId="90" xfId="0" applyNumberFormat="1" applyFont="1" applyFill="1" applyBorder="1" applyProtection="1">
      <protection hidden="1"/>
    </xf>
    <xf numFmtId="0" fontId="0" fillId="0" borderId="89" xfId="0" applyBorder="1" applyProtection="1">
      <protection hidden="1"/>
    </xf>
    <xf numFmtId="164" fontId="5" fillId="11" borderId="91" xfId="0" applyNumberFormat="1" applyFont="1" applyFill="1" applyBorder="1" applyProtection="1">
      <protection hidden="1"/>
    </xf>
    <xf numFmtId="164" fontId="5" fillId="11" borderId="23" xfId="0" applyNumberFormat="1" applyFont="1" applyFill="1" applyBorder="1" applyProtection="1">
      <protection hidden="1"/>
    </xf>
    <xf numFmtId="164" fontId="5" fillId="11" borderId="55" xfId="0" applyNumberFormat="1" applyFont="1" applyFill="1" applyBorder="1" applyProtection="1">
      <protection hidden="1"/>
    </xf>
    <xf numFmtId="164" fontId="4" fillId="15" borderId="1" xfId="0" applyNumberFormat="1" applyFont="1" applyFill="1" applyBorder="1" applyProtection="1">
      <protection hidden="1"/>
    </xf>
    <xf numFmtId="164" fontId="5" fillId="15" borderId="53" xfId="0" applyNumberFormat="1" applyFont="1" applyFill="1" applyBorder="1" applyProtection="1">
      <protection hidden="1"/>
    </xf>
    <xf numFmtId="164" fontId="4" fillId="15" borderId="53" xfId="0" applyNumberFormat="1" applyFont="1" applyFill="1" applyBorder="1" applyProtection="1">
      <protection hidden="1"/>
    </xf>
    <xf numFmtId="164" fontId="4" fillId="26" borderId="1" xfId="0" applyNumberFormat="1" applyFont="1" applyFill="1" applyBorder="1" applyProtection="1">
      <protection hidden="1"/>
    </xf>
    <xf numFmtId="164" fontId="4" fillId="26" borderId="53" xfId="0" applyNumberFormat="1" applyFont="1" applyFill="1" applyBorder="1" applyProtection="1">
      <protection hidden="1"/>
    </xf>
    <xf numFmtId="164" fontId="5" fillId="8" borderId="53" xfId="0" applyNumberFormat="1" applyFont="1" applyFill="1" applyBorder="1" applyProtection="1">
      <protection hidden="1"/>
    </xf>
    <xf numFmtId="0" fontId="30" fillId="0" borderId="0" xfId="0" applyFont="1" applyAlignment="1" applyProtection="1">
      <alignment horizontal="center" vertical="top"/>
      <protection hidden="1"/>
    </xf>
    <xf numFmtId="0" fontId="0" fillId="0" borderId="53" xfId="0" applyBorder="1" applyProtection="1">
      <protection hidden="1"/>
    </xf>
    <xf numFmtId="0" fontId="0" fillId="0" borderId="9" xfId="0" applyBorder="1" applyProtection="1">
      <protection hidden="1"/>
    </xf>
    <xf numFmtId="0" fontId="1" fillId="0" borderId="53" xfId="0" applyFont="1" applyBorder="1" applyAlignment="1" applyProtection="1">
      <alignment horizontal="center"/>
      <protection hidden="1"/>
    </xf>
    <xf numFmtId="14" fontId="3" fillId="0" borderId="58" xfId="0" applyNumberFormat="1" applyFont="1" applyBorder="1" applyAlignment="1" applyProtection="1">
      <alignment horizontal="center"/>
      <protection hidden="1"/>
    </xf>
    <xf numFmtId="0" fontId="3" fillId="0" borderId="58" xfId="0" applyFont="1" applyBorder="1" applyAlignment="1" applyProtection="1">
      <alignment horizontal="center"/>
      <protection hidden="1"/>
    </xf>
    <xf numFmtId="0" fontId="3" fillId="0" borderId="58" xfId="0" applyFont="1" applyBorder="1" applyAlignment="1" applyProtection="1">
      <alignment horizontal="left"/>
      <protection hidden="1"/>
    </xf>
    <xf numFmtId="177" fontId="1" fillId="0" borderId="58" xfId="0" applyNumberFormat="1" applyFont="1" applyBorder="1" applyAlignment="1" applyProtection="1">
      <alignment horizontal="center" vertical="top"/>
      <protection hidden="1"/>
    </xf>
    <xf numFmtId="177" fontId="4" fillId="0" borderId="69" xfId="0" applyNumberFormat="1" applyFont="1" applyBorder="1" applyProtection="1">
      <protection hidden="1"/>
    </xf>
    <xf numFmtId="177" fontId="4" fillId="0" borderId="71" xfId="0" applyNumberFormat="1" applyFont="1" applyBorder="1" applyProtection="1">
      <protection hidden="1"/>
    </xf>
    <xf numFmtId="0" fontId="1" fillId="0" borderId="58" xfId="0" applyFont="1" applyBorder="1" applyAlignment="1" applyProtection="1">
      <alignment horizontal="center"/>
      <protection hidden="1"/>
    </xf>
    <xf numFmtId="0" fontId="3" fillId="20" borderId="53" xfId="0" applyFont="1" applyFill="1" applyBorder="1" applyProtection="1">
      <protection hidden="1"/>
    </xf>
    <xf numFmtId="2" fontId="3" fillId="0" borderId="53" xfId="0" applyNumberFormat="1" applyFont="1" applyBorder="1" applyProtection="1">
      <protection hidden="1"/>
    </xf>
    <xf numFmtId="0" fontId="3" fillId="21" borderId="53" xfId="0" applyFont="1" applyFill="1" applyBorder="1" applyProtection="1">
      <protection hidden="1"/>
    </xf>
    <xf numFmtId="0" fontId="3" fillId="11" borderId="53" xfId="0" applyFont="1" applyFill="1" applyBorder="1" applyProtection="1">
      <protection hidden="1"/>
    </xf>
    <xf numFmtId="0" fontId="3" fillId="0" borderId="53" xfId="0" applyFont="1" applyBorder="1" applyAlignment="1" applyProtection="1">
      <alignment horizontal="left"/>
      <protection hidden="1"/>
    </xf>
    <xf numFmtId="177" fontId="4" fillId="0" borderId="68" xfId="0" applyNumberFormat="1" applyFont="1" applyBorder="1" applyProtection="1">
      <protection hidden="1"/>
    </xf>
    <xf numFmtId="177" fontId="4" fillId="0" borderId="70" xfId="0" applyNumberFormat="1" applyFont="1" applyBorder="1" applyProtection="1">
      <protection hidden="1"/>
    </xf>
    <xf numFmtId="0" fontId="3" fillId="16" borderId="53" xfId="0" applyFont="1" applyFill="1" applyBorder="1" applyProtection="1">
      <protection hidden="1"/>
    </xf>
    <xf numFmtId="0" fontId="3" fillId="22" borderId="53" xfId="0" applyFont="1" applyFill="1" applyBorder="1" applyProtection="1">
      <protection hidden="1"/>
    </xf>
    <xf numFmtId="0" fontId="3" fillId="0" borderId="62" xfId="0" applyFont="1" applyBorder="1" applyAlignment="1" applyProtection="1">
      <alignment horizontal="left"/>
      <protection hidden="1"/>
    </xf>
    <xf numFmtId="0" fontId="3" fillId="17" borderId="53" xfId="0" applyFont="1" applyFill="1" applyBorder="1" applyProtection="1">
      <protection hidden="1"/>
    </xf>
    <xf numFmtId="0" fontId="3" fillId="18" borderId="53" xfId="0" applyFont="1" applyFill="1" applyBorder="1" applyProtection="1">
      <protection hidden="1"/>
    </xf>
    <xf numFmtId="0" fontId="3" fillId="19" borderId="53" xfId="0" applyFont="1" applyFill="1" applyBorder="1" applyProtection="1">
      <protection hidden="1"/>
    </xf>
    <xf numFmtId="0" fontId="3" fillId="23" borderId="53" xfId="0" applyFont="1" applyFill="1" applyBorder="1" applyProtection="1">
      <protection hidden="1"/>
    </xf>
    <xf numFmtId="0" fontId="3" fillId="28" borderId="53" xfId="0" applyFont="1" applyFill="1" applyBorder="1" applyProtection="1">
      <protection hidden="1"/>
    </xf>
    <xf numFmtId="0" fontId="3" fillId="0" borderId="0" xfId="0" applyFont="1" applyAlignment="1" applyProtection="1">
      <alignment vertical="center" wrapText="1"/>
      <protection hidden="1"/>
    </xf>
    <xf numFmtId="0" fontId="3" fillId="0" borderId="53" xfId="0" applyFont="1" applyBorder="1" applyAlignment="1" applyProtection="1">
      <alignment horizontal="left" vertical="center"/>
      <protection hidden="1"/>
    </xf>
    <xf numFmtId="2" fontId="3" fillId="0" borderId="20" xfId="0" applyNumberFormat="1" applyFont="1" applyBorder="1" applyAlignment="1" applyProtection="1">
      <alignment horizontal="left" vertical="center"/>
      <protection hidden="1"/>
    </xf>
    <xf numFmtId="2" fontId="3" fillId="0" borderId="21" xfId="0" applyNumberFormat="1" applyFont="1" applyBorder="1" applyAlignment="1" applyProtection="1">
      <alignment horizontal="left" vertical="center"/>
      <protection hidden="1"/>
    </xf>
    <xf numFmtId="2" fontId="0" fillId="0" borderId="55" xfId="0" applyNumberFormat="1" applyBorder="1" applyAlignment="1" applyProtection="1">
      <alignment horizontal="right" vertical="center"/>
      <protection hidden="1"/>
    </xf>
    <xf numFmtId="2" fontId="0" fillId="0" borderId="53" xfId="0" applyNumberFormat="1" applyBorder="1" applyProtection="1">
      <protection hidden="1"/>
    </xf>
    <xf numFmtId="2" fontId="3" fillId="0" borderId="9" xfId="0" applyNumberFormat="1" applyFont="1" applyBorder="1" applyAlignment="1" applyProtection="1">
      <alignment horizontal="left" vertical="center"/>
      <protection hidden="1"/>
    </xf>
    <xf numFmtId="2" fontId="3" fillId="0" borderId="52" xfId="0" applyNumberFormat="1" applyFont="1" applyBorder="1" applyAlignment="1" applyProtection="1">
      <alignment horizontal="left" vertical="center"/>
      <protection hidden="1"/>
    </xf>
    <xf numFmtId="2" fontId="0" fillId="0" borderId="53" xfId="0" applyNumberFormat="1" applyBorder="1" applyAlignment="1" applyProtection="1">
      <alignment horizontal="right" vertical="center"/>
      <protection hidden="1"/>
    </xf>
    <xf numFmtId="14" fontId="3" fillId="0" borderId="62" xfId="0" applyNumberFormat="1" applyFont="1" applyBorder="1" applyAlignment="1" applyProtection="1">
      <alignment horizontal="center"/>
      <protection hidden="1"/>
    </xf>
    <xf numFmtId="0" fontId="3" fillId="24" borderId="53" xfId="0" applyFont="1" applyFill="1" applyBorder="1" applyAlignment="1" applyProtection="1">
      <alignment horizontal="left"/>
      <protection hidden="1"/>
    </xf>
    <xf numFmtId="0" fontId="1" fillId="24" borderId="62" xfId="0" applyFont="1" applyFill="1" applyBorder="1" applyAlignment="1" applyProtection="1">
      <alignment horizontal="center"/>
      <protection hidden="1"/>
    </xf>
    <xf numFmtId="177" fontId="4" fillId="24" borderId="62" xfId="0" applyNumberFormat="1" applyFont="1" applyFill="1" applyBorder="1" applyProtection="1">
      <protection hidden="1"/>
    </xf>
    <xf numFmtId="177" fontId="4" fillId="24" borderId="52" xfId="0" applyNumberFormat="1" applyFont="1" applyFill="1" applyBorder="1" applyProtection="1">
      <protection hidden="1"/>
    </xf>
    <xf numFmtId="0" fontId="3" fillId="0" borderId="62" xfId="0" applyFont="1" applyBorder="1" applyAlignment="1" applyProtection="1">
      <alignment horizontal="center"/>
      <protection hidden="1"/>
    </xf>
    <xf numFmtId="177" fontId="1" fillId="0" borderId="62" xfId="0" applyNumberFormat="1" applyFont="1" applyBorder="1" applyAlignment="1" applyProtection="1">
      <alignment horizontal="center" vertical="top"/>
      <protection hidden="1"/>
    </xf>
    <xf numFmtId="0" fontId="1" fillId="0" borderId="62" xfId="0" applyFont="1" applyBorder="1" applyAlignment="1" applyProtection="1">
      <alignment horizontal="center"/>
      <protection hidden="1"/>
    </xf>
    <xf numFmtId="14" fontId="3" fillId="24" borderId="62" xfId="0" applyNumberFormat="1" applyFont="1" applyFill="1" applyBorder="1" applyAlignment="1" applyProtection="1">
      <alignment horizontal="center"/>
      <protection hidden="1"/>
    </xf>
    <xf numFmtId="0" fontId="3" fillId="24" borderId="62" xfId="0" applyFont="1" applyFill="1" applyBorder="1" applyAlignment="1" applyProtection="1">
      <alignment horizontal="center"/>
      <protection hidden="1"/>
    </xf>
    <xf numFmtId="0" fontId="3" fillId="24" borderId="62" xfId="0" applyFont="1" applyFill="1" applyBorder="1" applyAlignment="1" applyProtection="1">
      <alignment horizontal="left"/>
      <protection hidden="1"/>
    </xf>
    <xf numFmtId="14" fontId="3" fillId="0" borderId="9" xfId="0" applyNumberFormat="1" applyFont="1" applyBorder="1" applyAlignment="1" applyProtection="1">
      <alignment horizontal="center"/>
      <protection hidden="1"/>
    </xf>
    <xf numFmtId="0" fontId="1" fillId="0" borderId="58" xfId="0" applyFont="1" applyBorder="1" applyAlignment="1" applyProtection="1">
      <alignment horizontal="center" vertical="top"/>
      <protection hidden="1"/>
    </xf>
    <xf numFmtId="0" fontId="1" fillId="0" borderId="62" xfId="0" applyFont="1" applyBorder="1" applyAlignment="1" applyProtection="1">
      <alignment horizontal="center" vertical="top"/>
      <protection hidden="1"/>
    </xf>
    <xf numFmtId="0" fontId="1" fillId="0" borderId="0" xfId="0" applyFont="1" applyAlignment="1" applyProtection="1">
      <alignment horizontal="center" vertical="top"/>
      <protection hidden="1"/>
    </xf>
    <xf numFmtId="0" fontId="16" fillId="0" borderId="0" xfId="0" applyFont="1"/>
    <xf numFmtId="0" fontId="12" fillId="0" borderId="0" xfId="0" applyFont="1"/>
    <xf numFmtId="0" fontId="4" fillId="0" borderId="0" xfId="0" applyFont="1"/>
    <xf numFmtId="0" fontId="12" fillId="0" borderId="0" xfId="0" applyFont="1" applyAlignment="1">
      <alignment horizontal="left"/>
    </xf>
    <xf numFmtId="0" fontId="12" fillId="0" borderId="0" xfId="0" applyFont="1" applyAlignment="1">
      <alignment horizontal="center" vertical="center"/>
    </xf>
    <xf numFmtId="0" fontId="16" fillId="0" borderId="3" xfId="0" applyFont="1" applyBorder="1" applyAlignment="1">
      <alignment horizontal="center" vertical="center"/>
    </xf>
    <xf numFmtId="0" fontId="16" fillId="0" borderId="13" xfId="0" applyFont="1" applyBorder="1"/>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13" xfId="0" applyFont="1" applyBorder="1" applyAlignment="1">
      <alignment vertical="center"/>
    </xf>
    <xf numFmtId="0" fontId="12" fillId="0" borderId="10" xfId="0" applyFont="1" applyBorder="1"/>
    <xf numFmtId="0" fontId="4" fillId="0" borderId="23" xfId="0" applyFont="1" applyBorder="1" applyAlignment="1">
      <alignment horizontal="center" vertical="center"/>
    </xf>
    <xf numFmtId="0" fontId="4" fillId="0" borderId="23" xfId="0" applyFont="1" applyBorder="1" applyAlignment="1">
      <alignment horizontal="center" vertical="center" wrapText="1"/>
    </xf>
    <xf numFmtId="0" fontId="22" fillId="0" borderId="28" xfId="0" applyFont="1" applyBorder="1" applyAlignment="1">
      <alignment vertical="top" wrapText="1"/>
    </xf>
    <xf numFmtId="0" fontId="12" fillId="0" borderId="0" xfId="0" applyFont="1" applyAlignment="1">
      <alignment horizontal="right"/>
    </xf>
    <xf numFmtId="164" fontId="12" fillId="0" borderId="23" xfId="0" applyNumberFormat="1" applyFont="1" applyBorder="1" applyAlignment="1">
      <alignment horizontal="right"/>
    </xf>
    <xf numFmtId="164" fontId="16" fillId="0" borderId="13" xfId="0" applyNumberFormat="1" applyFont="1" applyBorder="1" applyAlignment="1">
      <alignment horizontal="right"/>
    </xf>
    <xf numFmtId="164" fontId="16" fillId="0" borderId="23" xfId="0" applyNumberFormat="1" applyFont="1" applyBorder="1" applyAlignment="1">
      <alignment horizontal="right"/>
    </xf>
    <xf numFmtId="0" fontId="22" fillId="0" borderId="9" xfId="0" applyFont="1" applyBorder="1" applyAlignment="1">
      <alignment horizontal="center" vertical="center" wrapText="1"/>
    </xf>
    <xf numFmtId="0" fontId="17" fillId="0" borderId="3" xfId="0" applyFont="1" applyBorder="1" applyAlignment="1">
      <alignment horizontal="center"/>
    </xf>
    <xf numFmtId="164" fontId="12" fillId="0" borderId="6" xfId="0" applyNumberFormat="1" applyFont="1" applyBorder="1" applyAlignment="1">
      <alignment horizontal="center"/>
    </xf>
    <xf numFmtId="0" fontId="0" fillId="0" borderId="20" xfId="0" applyBorder="1" applyAlignment="1">
      <alignment horizontal="center"/>
    </xf>
    <xf numFmtId="0" fontId="22" fillId="0" borderId="0" xfId="0" applyFont="1" applyAlignment="1">
      <alignment horizontal="center" vertical="center" wrapText="1"/>
    </xf>
    <xf numFmtId="0" fontId="22" fillId="0" borderId="30" xfId="0" applyFont="1" applyBorder="1" applyAlignment="1">
      <alignment horizontal="center" vertical="center" wrapText="1"/>
    </xf>
    <xf numFmtId="0" fontId="22" fillId="0" borderId="33" xfId="0" applyFont="1" applyBorder="1" applyAlignment="1">
      <alignment horizontal="center" vertical="center" wrapText="1"/>
    </xf>
    <xf numFmtId="0" fontId="5"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5" fillId="0" borderId="21" xfId="0" applyFont="1" applyBorder="1" applyAlignment="1">
      <alignment vertical="center" wrapText="1"/>
    </xf>
    <xf numFmtId="0" fontId="12" fillId="0" borderId="16" xfId="0" applyFont="1" applyBorder="1"/>
    <xf numFmtId="0" fontId="16" fillId="0" borderId="58" xfId="0" applyFont="1" applyBorder="1" applyAlignment="1">
      <alignment horizontal="center" vertical="center"/>
    </xf>
    <xf numFmtId="0" fontId="16" fillId="0" borderId="59" xfId="0" applyFont="1" applyBorder="1" applyAlignment="1">
      <alignment horizontal="center" vertical="center"/>
    </xf>
    <xf numFmtId="0" fontId="16" fillId="0" borderId="59" xfId="0" applyFont="1" applyBorder="1" applyAlignment="1">
      <alignment horizontal="center" vertical="center" wrapText="1"/>
    </xf>
    <xf numFmtId="0" fontId="16" fillId="0" borderId="0" xfId="0" applyFont="1" applyAlignment="1">
      <alignment vertical="center"/>
    </xf>
    <xf numFmtId="0" fontId="22" fillId="0" borderId="0" xfId="0" applyFont="1" applyAlignment="1">
      <alignment horizontal="left"/>
    </xf>
    <xf numFmtId="0" fontId="22" fillId="0" borderId="16" xfId="0" applyFont="1" applyBorder="1" applyAlignment="1">
      <alignment horizontal="left"/>
    </xf>
    <xf numFmtId="164" fontId="12" fillId="0" borderId="16" xfId="0" applyNumberFormat="1" applyFont="1" applyBorder="1"/>
    <xf numFmtId="0" fontId="4" fillId="0" borderId="16" xfId="0" applyFont="1" applyBorder="1" applyAlignment="1">
      <alignment horizontal="center" vertical="center" wrapText="1"/>
    </xf>
    <xf numFmtId="0" fontId="12" fillId="0" borderId="16" xfId="0" applyFont="1" applyBorder="1" applyAlignment="1">
      <alignment horizontal="right" vertical="center"/>
    </xf>
    <xf numFmtId="0" fontId="17" fillId="0" borderId="16" xfId="0" applyFont="1" applyBorder="1" applyAlignment="1">
      <alignment horizontal="center"/>
    </xf>
    <xf numFmtId="0" fontId="23" fillId="0" borderId="0" xfId="0" applyFont="1" applyAlignment="1">
      <alignment horizontal="left" vertical="center"/>
    </xf>
    <xf numFmtId="0" fontId="23" fillId="0" borderId="16" xfId="0" applyFont="1" applyBorder="1" applyAlignment="1">
      <alignment horizontal="left" vertical="center"/>
    </xf>
    <xf numFmtId="0" fontId="16" fillId="0" borderId="87" xfId="0" applyFont="1" applyBorder="1"/>
    <xf numFmtId="0" fontId="17" fillId="0" borderId="87" xfId="0" applyFont="1" applyBorder="1" applyAlignment="1">
      <alignment horizontal="center"/>
    </xf>
    <xf numFmtId="0" fontId="17" fillId="0" borderId="88" xfId="0" applyFont="1" applyBorder="1" applyAlignment="1">
      <alignment horizontal="center"/>
    </xf>
    <xf numFmtId="164" fontId="12" fillId="0" borderId="88" xfId="0" applyNumberFormat="1" applyFont="1" applyBorder="1"/>
    <xf numFmtId="0" fontId="16" fillId="0" borderId="29" xfId="0" applyFont="1" applyBorder="1"/>
    <xf numFmtId="0" fontId="16" fillId="0" borderId="30" xfId="0" applyFont="1" applyBorder="1"/>
    <xf numFmtId="0" fontId="22" fillId="0" borderId="13" xfId="0" applyFont="1" applyBorder="1"/>
    <xf numFmtId="0" fontId="12" fillId="0" borderId="0" xfId="0" applyFont="1" applyAlignment="1">
      <alignment horizontal="center"/>
    </xf>
    <xf numFmtId="0" fontId="4" fillId="0" borderId="0" xfId="0" applyFont="1" applyAlignment="1">
      <alignment horizontal="center" vertical="center"/>
    </xf>
    <xf numFmtId="0" fontId="12" fillId="0" borderId="12" xfId="0" applyFont="1" applyBorder="1"/>
    <xf numFmtId="0" fontId="12" fillId="0" borderId="18" xfId="0" applyFont="1" applyBorder="1"/>
    <xf numFmtId="0" fontId="22" fillId="0" borderId="0" xfId="0" applyFont="1"/>
    <xf numFmtId="0" fontId="16" fillId="0" borderId="19" xfId="0" applyFont="1" applyBorder="1"/>
    <xf numFmtId="0" fontId="17" fillId="0" borderId="15" xfId="0" applyFont="1" applyBorder="1" applyAlignment="1">
      <alignment horizontal="center"/>
    </xf>
    <xf numFmtId="164" fontId="12" fillId="0" borderId="15" xfId="0" applyNumberFormat="1" applyFont="1" applyBorder="1"/>
    <xf numFmtId="0" fontId="4" fillId="0" borderId="14" xfId="0" applyFont="1" applyBorder="1" applyAlignment="1">
      <alignment vertical="top"/>
    </xf>
    <xf numFmtId="0" fontId="0" fillId="0" borderId="14" xfId="0" applyBorder="1"/>
    <xf numFmtId="0" fontId="18" fillId="0" borderId="0" xfId="0" applyFont="1"/>
    <xf numFmtId="0" fontId="4" fillId="0" borderId="14" xfId="0" applyFont="1" applyBorder="1"/>
    <xf numFmtId="0" fontId="39" fillId="0" borderId="0" xfId="0" applyFont="1"/>
    <xf numFmtId="0" fontId="38" fillId="0" borderId="0" xfId="0" applyFont="1"/>
    <xf numFmtId="49" fontId="39" fillId="0" borderId="0" xfId="0" applyNumberFormat="1" applyFont="1"/>
    <xf numFmtId="0" fontId="41" fillId="0" borderId="0" xfId="0" applyFont="1"/>
    <xf numFmtId="49" fontId="38" fillId="0" borderId="0" xfId="0" applyNumberFormat="1" applyFont="1"/>
    <xf numFmtId="0" fontId="38" fillId="0" borderId="0" xfId="0" applyFont="1" applyAlignment="1">
      <alignment vertical="center"/>
    </xf>
    <xf numFmtId="49" fontId="39" fillId="0" borderId="0" xfId="0" applyNumberFormat="1" applyFont="1" applyAlignment="1">
      <alignment wrapText="1"/>
    </xf>
    <xf numFmtId="0" fontId="39" fillId="0" borderId="0" xfId="0" applyFont="1" applyAlignment="1">
      <alignment wrapText="1"/>
    </xf>
    <xf numFmtId="2" fontId="5" fillId="30" borderId="56" xfId="0" applyNumberFormat="1" applyFont="1" applyFill="1" applyBorder="1" applyAlignment="1" applyProtection="1">
      <alignment horizontal="center" vertical="center"/>
      <protection hidden="1"/>
    </xf>
    <xf numFmtId="2" fontId="5" fillId="30" borderId="23" xfId="0" applyNumberFormat="1" applyFont="1" applyFill="1" applyBorder="1" applyAlignment="1" applyProtection="1">
      <alignment horizontal="center" vertical="center"/>
      <protection hidden="1"/>
    </xf>
    <xf numFmtId="0" fontId="38" fillId="0" borderId="0" xfId="0" applyFont="1" applyProtection="1">
      <protection hidden="1"/>
    </xf>
    <xf numFmtId="2" fontId="5" fillId="31" borderId="98" xfId="0" applyNumberFormat="1" applyFont="1" applyFill="1" applyBorder="1" applyAlignment="1" applyProtection="1">
      <alignment horizontal="right"/>
      <protection hidden="1"/>
    </xf>
    <xf numFmtId="0" fontId="3" fillId="32" borderId="53" xfId="0" applyFont="1" applyFill="1" applyBorder="1" applyProtection="1">
      <protection hidden="1"/>
    </xf>
    <xf numFmtId="49" fontId="38" fillId="0" borderId="94" xfId="0" applyNumberFormat="1" applyFont="1" applyBorder="1" applyAlignment="1">
      <alignment horizontal="left" vertical="top" wrapText="1"/>
    </xf>
    <xf numFmtId="0" fontId="24" fillId="0" borderId="95" xfId="0" applyFont="1" applyBorder="1" applyAlignment="1">
      <alignment horizontal="left" vertical="top" wrapText="1"/>
    </xf>
    <xf numFmtId="49" fontId="39" fillId="0" borderId="95" xfId="0" applyNumberFormat="1" applyFont="1" applyBorder="1" applyAlignment="1">
      <alignment horizontal="left" vertical="top" wrapText="1"/>
    </xf>
    <xf numFmtId="0" fontId="39" fillId="0" borderId="95" xfId="0" applyFont="1" applyBorder="1" applyAlignment="1">
      <alignment horizontal="left" vertical="top" wrapText="1"/>
    </xf>
    <xf numFmtId="0" fontId="38" fillId="0" borderId="95" xfId="0" applyFont="1" applyBorder="1" applyAlignment="1">
      <alignment horizontal="left" vertical="top" wrapText="1"/>
    </xf>
    <xf numFmtId="49" fontId="39" fillId="9" borderId="95" xfId="0" applyNumberFormat="1" applyFont="1" applyFill="1" applyBorder="1" applyAlignment="1">
      <alignment horizontal="left" vertical="top" wrapText="1" shrinkToFit="1"/>
    </xf>
    <xf numFmtId="49" fontId="39" fillId="9" borderId="96" xfId="0" applyNumberFormat="1" applyFont="1" applyFill="1" applyBorder="1" applyAlignment="1">
      <alignment horizontal="left" vertical="top" wrapText="1"/>
    </xf>
    <xf numFmtId="0" fontId="45" fillId="0" borderId="0" xfId="0" applyFont="1" applyAlignment="1" applyProtection="1">
      <alignment horizontal="right"/>
      <protection hidden="1"/>
    </xf>
    <xf numFmtId="0" fontId="45" fillId="0" borderId="0" xfId="0" applyFont="1" applyAlignment="1">
      <alignment horizontal="right"/>
    </xf>
    <xf numFmtId="0" fontId="39" fillId="0" borderId="0" xfId="0" applyFont="1" applyAlignment="1">
      <alignment horizontal="left" vertical="top" wrapText="1"/>
    </xf>
    <xf numFmtId="49" fontId="39" fillId="0" borderId="0" xfId="0" applyNumberFormat="1" applyFont="1" applyAlignment="1">
      <alignment horizontal="left" vertical="top"/>
    </xf>
    <xf numFmtId="0" fontId="38" fillId="0" borderId="94" xfId="0" applyFont="1" applyBorder="1" applyAlignment="1">
      <alignment horizontal="left" vertical="top"/>
    </xf>
    <xf numFmtId="0" fontId="24" fillId="0" borderId="95" xfId="0" applyFont="1" applyBorder="1" applyAlignment="1">
      <alignment horizontal="left" vertical="top"/>
    </xf>
    <xf numFmtId="0" fontId="39" fillId="0" borderId="95" xfId="0" applyFont="1" applyBorder="1" applyAlignment="1">
      <alignment horizontal="left" vertical="top"/>
    </xf>
    <xf numFmtId="49" fontId="40" fillId="0" borderId="95" xfId="0" applyNumberFormat="1" applyFont="1" applyBorder="1" applyAlignment="1">
      <alignment horizontal="left" vertical="top"/>
    </xf>
    <xf numFmtId="0" fontId="39" fillId="0" borderId="96" xfId="0" applyFont="1" applyBorder="1" applyAlignment="1">
      <alignment horizontal="left" vertical="top" wrapText="1"/>
    </xf>
    <xf numFmtId="0" fontId="6" fillId="0" borderId="0" xfId="0" applyFont="1"/>
    <xf numFmtId="0" fontId="44" fillId="0" borderId="0" xfId="0" applyFont="1" applyAlignment="1">
      <alignment horizontal="right"/>
    </xf>
    <xf numFmtId="49" fontId="39" fillId="9" borderId="95" xfId="0" applyNumberFormat="1" applyFont="1" applyFill="1" applyBorder="1" applyAlignment="1">
      <alignment horizontal="left" vertical="center" wrapText="1" shrinkToFit="1"/>
    </xf>
    <xf numFmtId="49" fontId="24" fillId="9" borderId="95" xfId="0" applyNumberFormat="1" applyFont="1" applyFill="1" applyBorder="1" applyAlignment="1">
      <alignment horizontal="left" vertical="center" wrapText="1" shrinkToFit="1"/>
    </xf>
    <xf numFmtId="49" fontId="24" fillId="9" borderId="96" xfId="0" applyNumberFormat="1" applyFont="1" applyFill="1" applyBorder="1" applyAlignment="1">
      <alignment horizontal="left" vertical="top" wrapText="1"/>
    </xf>
    <xf numFmtId="0" fontId="43" fillId="0" borderId="95" xfId="0" applyFont="1" applyBorder="1" applyAlignment="1">
      <alignment horizontal="left" vertical="top" wrapText="1"/>
    </xf>
    <xf numFmtId="49" fontId="24" fillId="0" borderId="0" xfId="0" applyNumberFormat="1" applyFont="1"/>
    <xf numFmtId="0" fontId="47" fillId="0" borderId="0" xfId="0" applyFont="1"/>
    <xf numFmtId="0" fontId="48" fillId="0" borderId="56" xfId="0" applyFont="1" applyBorder="1" applyAlignment="1">
      <alignment horizontal="center" vertical="center"/>
    </xf>
    <xf numFmtId="0" fontId="49" fillId="0" borderId="23" xfId="0" applyFont="1" applyBorder="1" applyAlignment="1">
      <alignment horizontal="center" vertical="center"/>
    </xf>
    <xf numFmtId="0" fontId="47" fillId="0" borderId="0" xfId="0" applyFont="1" applyAlignment="1">
      <alignment horizontal="right"/>
    </xf>
    <xf numFmtId="0" fontId="47" fillId="0" borderId="10" xfId="0" applyFont="1" applyBorder="1"/>
    <xf numFmtId="0" fontId="22" fillId="0" borderId="58" xfId="0" applyFont="1" applyBorder="1" applyAlignment="1">
      <alignment horizontal="center" vertical="center" wrapText="1"/>
    </xf>
    <xf numFmtId="0" fontId="50" fillId="0" borderId="6" xfId="0" applyFont="1" applyBorder="1" applyAlignment="1">
      <alignment horizontal="center" vertical="center" wrapText="1"/>
    </xf>
    <xf numFmtId="0" fontId="48" fillId="0" borderId="59" xfId="0" applyFont="1" applyBorder="1" applyAlignment="1">
      <alignment horizontal="center" vertical="center"/>
    </xf>
    <xf numFmtId="0" fontId="48" fillId="0" borderId="59" xfId="0" applyFont="1" applyBorder="1" applyAlignment="1">
      <alignment horizontal="center" vertical="center" wrapText="1"/>
    </xf>
    <xf numFmtId="0" fontId="16" fillId="0" borderId="43" xfId="0" applyFont="1" applyBorder="1" applyAlignment="1">
      <alignment vertical="center"/>
    </xf>
    <xf numFmtId="0" fontId="4" fillId="0" borderId="12" xfId="0" applyFont="1" applyBorder="1" applyAlignment="1">
      <alignment horizontal="right"/>
    </xf>
    <xf numFmtId="0" fontId="48" fillId="0" borderId="57" xfId="0" applyFont="1" applyBorder="1"/>
    <xf numFmtId="0" fontId="22" fillId="0" borderId="43" xfId="0" applyFont="1" applyBorder="1"/>
    <xf numFmtId="0" fontId="47" fillId="0" borderId="0" xfId="0" applyFont="1" applyAlignment="1">
      <alignment horizontal="center"/>
    </xf>
    <xf numFmtId="0" fontId="49" fillId="0" borderId="14" xfId="0" applyFont="1" applyBorder="1" applyAlignment="1">
      <alignment vertical="top"/>
    </xf>
    <xf numFmtId="0" fontId="49" fillId="0" borderId="14" xfId="0" applyFont="1" applyBorder="1"/>
    <xf numFmtId="0" fontId="4" fillId="0" borderId="58" xfId="0" applyFont="1" applyBorder="1" applyAlignment="1">
      <alignment horizontal="center" vertical="center" wrapText="1"/>
    </xf>
    <xf numFmtId="179" fontId="3" fillId="3" borderId="53" xfId="1" applyNumberFormat="1" applyFont="1" applyFill="1" applyBorder="1" applyProtection="1">
      <protection locked="0"/>
    </xf>
    <xf numFmtId="179" fontId="3" fillId="3" borderId="56" xfId="1" applyNumberFormat="1" applyFont="1" applyFill="1" applyBorder="1" applyProtection="1">
      <protection locked="0"/>
    </xf>
    <xf numFmtId="10" fontId="1" fillId="0" borderId="1" xfId="0" applyNumberFormat="1" applyFont="1" applyBorder="1" applyProtection="1">
      <protection hidden="1"/>
    </xf>
    <xf numFmtId="164" fontId="12" fillId="0" borderId="16" xfId="0" applyNumberFormat="1" applyFont="1" applyBorder="1" applyAlignment="1">
      <alignment horizontal="right" vertical="center"/>
    </xf>
    <xf numFmtId="164" fontId="16" fillId="0" borderId="16" xfId="0" applyNumberFormat="1" applyFont="1" applyBorder="1"/>
    <xf numFmtId="164" fontId="16" fillId="0" borderId="88" xfId="0" applyNumberFormat="1" applyFont="1" applyBorder="1"/>
    <xf numFmtId="164" fontId="12" fillId="0" borderId="11" xfId="0" applyNumberFormat="1" applyFont="1" applyBorder="1"/>
    <xf numFmtId="164" fontId="16" fillId="0" borderId="32" xfId="0" applyNumberFormat="1" applyFont="1" applyBorder="1"/>
    <xf numFmtId="164" fontId="12" fillId="0" borderId="24" xfId="0" applyNumberFormat="1" applyFont="1" applyBorder="1"/>
    <xf numFmtId="0" fontId="3" fillId="0" borderId="53" xfId="0" applyFont="1" applyBorder="1" applyAlignment="1">
      <alignment horizontal="left"/>
    </xf>
    <xf numFmtId="0" fontId="1" fillId="0" borderId="72" xfId="0" applyFont="1" applyBorder="1" applyAlignment="1" applyProtection="1">
      <alignment horizontal="left" vertical="center"/>
      <protection hidden="1"/>
    </xf>
    <xf numFmtId="0" fontId="1" fillId="0" borderId="73" xfId="0" applyFont="1" applyBorder="1" applyAlignment="1" applyProtection="1">
      <alignment horizontal="left" vertical="center"/>
      <protection hidden="1"/>
    </xf>
    <xf numFmtId="2" fontId="3" fillId="0" borderId="63" xfId="0" applyNumberFormat="1" applyFont="1" applyBorder="1" applyProtection="1">
      <protection hidden="1"/>
    </xf>
    <xf numFmtId="2" fontId="3" fillId="0" borderId="80" xfId="0" applyNumberFormat="1" applyFont="1" applyBorder="1" applyAlignment="1" applyProtection="1">
      <alignment vertical="center"/>
      <protection hidden="1"/>
    </xf>
    <xf numFmtId="2" fontId="3" fillId="0" borderId="38" xfId="0" applyNumberFormat="1" applyFont="1" applyBorder="1" applyAlignment="1" applyProtection="1">
      <alignment vertical="center"/>
      <protection hidden="1"/>
    </xf>
    <xf numFmtId="2" fontId="3" fillId="0" borderId="78" xfId="0" applyNumberFormat="1" applyFont="1" applyBorder="1" applyAlignment="1" applyProtection="1">
      <alignment vertical="center"/>
      <protection hidden="1"/>
    </xf>
    <xf numFmtId="2" fontId="3" fillId="0" borderId="83" xfId="0" applyNumberFormat="1" applyFont="1" applyBorder="1" applyAlignment="1" applyProtection="1">
      <alignment horizontal="right" vertical="center"/>
      <protection hidden="1"/>
    </xf>
    <xf numFmtId="2" fontId="3" fillId="0" borderId="60" xfId="0" applyNumberFormat="1" applyFont="1" applyBorder="1" applyAlignment="1" applyProtection="1">
      <alignment horizontal="right" vertical="center"/>
      <protection hidden="1"/>
    </xf>
    <xf numFmtId="2" fontId="3" fillId="5" borderId="99" xfId="0" applyNumberFormat="1" applyFont="1" applyFill="1" applyBorder="1" applyAlignment="1" applyProtection="1">
      <alignment horizontal="right" vertical="center"/>
      <protection hidden="1"/>
    </xf>
    <xf numFmtId="2" fontId="3" fillId="5" borderId="60" xfId="0" applyNumberFormat="1" applyFont="1" applyFill="1" applyBorder="1" applyAlignment="1" applyProtection="1">
      <alignment horizontal="right" vertical="center"/>
      <protection hidden="1"/>
    </xf>
    <xf numFmtId="2" fontId="3" fillId="5" borderId="74" xfId="0" applyNumberFormat="1" applyFont="1" applyFill="1" applyBorder="1" applyAlignment="1" applyProtection="1">
      <alignment horizontal="right" vertical="center"/>
      <protection hidden="1"/>
    </xf>
    <xf numFmtId="2" fontId="3" fillId="0" borderId="99" xfId="0" applyNumberFormat="1" applyFont="1" applyBorder="1" applyAlignment="1" applyProtection="1">
      <alignment horizontal="right" vertical="center"/>
      <protection hidden="1"/>
    </xf>
    <xf numFmtId="2" fontId="3" fillId="0" borderId="0" xfId="0" applyNumberFormat="1" applyFont="1" applyAlignment="1" applyProtection="1">
      <alignment vertical="center"/>
      <protection hidden="1"/>
    </xf>
    <xf numFmtId="164" fontId="5" fillId="27" borderId="56" xfId="0" applyNumberFormat="1" applyFont="1" applyFill="1" applyBorder="1" applyProtection="1">
      <protection hidden="1"/>
    </xf>
    <xf numFmtId="180" fontId="16" fillId="12" borderId="23" xfId="0" applyNumberFormat="1" applyFont="1" applyFill="1" applyBorder="1" applyAlignment="1" applyProtection="1">
      <alignment horizontal="right" vertical="center" wrapText="1"/>
      <protection locked="0"/>
    </xf>
    <xf numFmtId="0" fontId="0" fillId="0" borderId="86" xfId="0" applyBorder="1" applyProtection="1">
      <protection hidden="1"/>
    </xf>
    <xf numFmtId="0" fontId="5" fillId="0" borderId="0" xfId="0" applyFont="1" applyProtection="1">
      <protection hidden="1"/>
    </xf>
    <xf numFmtId="0" fontId="1" fillId="0" borderId="39" xfId="0" applyFont="1" applyBorder="1" applyAlignment="1" applyProtection="1">
      <alignment horizontal="center"/>
      <protection hidden="1"/>
    </xf>
    <xf numFmtId="0" fontId="1" fillId="0" borderId="37" xfId="0" applyFont="1" applyBorder="1" applyAlignment="1" applyProtection="1">
      <alignment horizontal="center"/>
      <protection hidden="1"/>
    </xf>
    <xf numFmtId="0" fontId="1" fillId="0" borderId="79" xfId="0" applyFont="1" applyBorder="1" applyAlignment="1" applyProtection="1">
      <alignment horizontal="center"/>
      <protection hidden="1"/>
    </xf>
    <xf numFmtId="0" fontId="1" fillId="0" borderId="72" xfId="0" applyFont="1" applyBorder="1" applyAlignment="1" applyProtection="1">
      <alignment horizontal="left" vertical="center" wrapText="1"/>
      <protection hidden="1"/>
    </xf>
    <xf numFmtId="0" fontId="1" fillId="0" borderId="73" xfId="0" applyFont="1" applyBorder="1" applyAlignment="1" applyProtection="1">
      <alignment horizontal="left" vertical="center" wrapText="1"/>
      <protection hidden="1"/>
    </xf>
    <xf numFmtId="0" fontId="1" fillId="0" borderId="97" xfId="0" applyFont="1" applyBorder="1" applyAlignment="1" applyProtection="1">
      <alignment horizontal="left" vertical="center" wrapText="1"/>
      <protection hidden="1"/>
    </xf>
    <xf numFmtId="0" fontId="1" fillId="0" borderId="41" xfId="0" applyFont="1" applyBorder="1" applyAlignment="1" applyProtection="1">
      <alignment horizontal="left" vertical="center"/>
      <protection hidden="1"/>
    </xf>
    <xf numFmtId="0" fontId="1" fillId="0" borderId="42" xfId="0" applyFont="1" applyBorder="1" applyAlignment="1" applyProtection="1">
      <alignment horizontal="left" vertical="center"/>
      <protection hidden="1"/>
    </xf>
    <xf numFmtId="0" fontId="3" fillId="0" borderId="72" xfId="0" applyFont="1" applyBorder="1" applyAlignment="1" applyProtection="1">
      <alignment horizontal="left" vertical="center" wrapText="1"/>
      <protection hidden="1"/>
    </xf>
    <xf numFmtId="0" fontId="3" fillId="0" borderId="73" xfId="0" applyFont="1" applyBorder="1" applyAlignment="1" applyProtection="1">
      <alignment horizontal="left" vertical="center" wrapText="1"/>
      <protection hidden="1"/>
    </xf>
    <xf numFmtId="0" fontId="3" fillId="0" borderId="97" xfId="0" applyFont="1" applyBorder="1" applyAlignment="1" applyProtection="1">
      <alignment horizontal="left" vertical="center" wrapText="1"/>
      <protection hidden="1"/>
    </xf>
    <xf numFmtId="0" fontId="1" fillId="0" borderId="56"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3" fillId="3" borderId="9" xfId="0" applyFont="1" applyFill="1" applyBorder="1" applyAlignment="1" applyProtection="1">
      <alignment horizontal="left"/>
      <protection locked="0"/>
    </xf>
    <xf numFmtId="0" fontId="3" fillId="3" borderId="51" xfId="0" applyFont="1" applyFill="1" applyBorder="1" applyAlignment="1" applyProtection="1">
      <alignment horizontal="left"/>
      <protection locked="0"/>
    </xf>
    <xf numFmtId="0" fontId="3" fillId="3" borderId="52" xfId="0" applyFont="1" applyFill="1" applyBorder="1" applyAlignment="1" applyProtection="1">
      <alignment horizontal="left"/>
      <protection locked="0"/>
    </xf>
    <xf numFmtId="49" fontId="1" fillId="0" borderId="0" xfId="0" applyNumberFormat="1" applyFont="1" applyAlignment="1" applyProtection="1">
      <alignment horizontal="left" vertical="center" wrapText="1"/>
      <protection hidden="1"/>
    </xf>
    <xf numFmtId="49" fontId="3" fillId="3" borderId="1" xfId="0" applyNumberFormat="1" applyFont="1" applyFill="1" applyBorder="1" applyAlignment="1" applyProtection="1">
      <alignment horizontal="left"/>
      <protection locked="0"/>
    </xf>
    <xf numFmtId="49" fontId="3" fillId="3" borderId="9" xfId="0" applyNumberFormat="1" applyFont="1" applyFill="1" applyBorder="1" applyAlignment="1" applyProtection="1">
      <alignment horizontal="left"/>
      <protection locked="0"/>
    </xf>
    <xf numFmtId="49" fontId="3" fillId="3" borderId="51" xfId="0" applyNumberFormat="1" applyFont="1" applyFill="1" applyBorder="1" applyAlignment="1" applyProtection="1">
      <alignment horizontal="left"/>
      <protection locked="0"/>
    </xf>
    <xf numFmtId="49" fontId="3" fillId="3" borderId="52" xfId="0" applyNumberFormat="1" applyFont="1" applyFill="1" applyBorder="1" applyAlignment="1" applyProtection="1">
      <alignment horizontal="left"/>
      <protection locked="0"/>
    </xf>
    <xf numFmtId="0" fontId="3" fillId="0" borderId="0" xfId="0" applyFont="1" applyAlignment="1" applyProtection="1">
      <alignment horizontal="left"/>
      <protection hidden="1"/>
    </xf>
    <xf numFmtId="0" fontId="3" fillId="0" borderId="67" xfId="0" applyFont="1" applyBorder="1" applyAlignment="1" applyProtection="1">
      <alignment horizontal="left"/>
      <protection hidden="1"/>
    </xf>
    <xf numFmtId="0" fontId="1" fillId="4" borderId="9" xfId="0" applyFont="1" applyFill="1" applyBorder="1" applyAlignment="1" applyProtection="1">
      <alignment horizontal="center"/>
      <protection hidden="1"/>
    </xf>
    <xf numFmtId="0" fontId="1" fillId="4" borderId="27" xfId="0" applyFont="1" applyFill="1" applyBorder="1" applyAlignment="1" applyProtection="1">
      <alignment horizontal="center"/>
      <protection hidden="1"/>
    </xf>
    <xf numFmtId="0" fontId="1" fillId="4" borderId="52" xfId="0" applyFont="1" applyFill="1" applyBorder="1" applyAlignment="1" applyProtection="1">
      <alignment horizontal="center"/>
      <protection hidden="1"/>
    </xf>
    <xf numFmtId="0" fontId="1" fillId="8" borderId="9" xfId="0" applyFont="1" applyFill="1" applyBorder="1" applyAlignment="1" applyProtection="1">
      <alignment horizontal="center" vertical="center" wrapText="1" shrinkToFit="1"/>
      <protection hidden="1"/>
    </xf>
    <xf numFmtId="0" fontId="1" fillId="8" borderId="27" xfId="0" applyFont="1" applyFill="1" applyBorder="1" applyAlignment="1" applyProtection="1">
      <alignment horizontal="center" vertical="center" wrapText="1" shrinkToFit="1"/>
      <protection hidden="1"/>
    </xf>
    <xf numFmtId="0" fontId="4" fillId="8" borderId="9" xfId="0" applyFont="1" applyFill="1" applyBorder="1" applyAlignment="1" applyProtection="1">
      <alignment horizontal="left" vertical="center" shrinkToFit="1" readingOrder="1"/>
      <protection hidden="1"/>
    </xf>
    <xf numFmtId="0" fontId="4" fillId="8" borderId="52" xfId="0" applyFont="1" applyFill="1" applyBorder="1" applyAlignment="1" applyProtection="1">
      <alignment horizontal="left" vertical="center" shrinkToFit="1" readingOrder="1"/>
      <protection hidden="1"/>
    </xf>
    <xf numFmtId="49" fontId="4" fillId="8" borderId="1" xfId="0" applyNumberFormat="1" applyFont="1" applyFill="1" applyBorder="1" applyAlignment="1" applyProtection="1">
      <alignment horizontal="left" vertical="center" shrinkToFit="1" readingOrder="1"/>
      <protection hidden="1"/>
    </xf>
    <xf numFmtId="0" fontId="4" fillId="8" borderId="1" xfId="0" applyFont="1" applyFill="1" applyBorder="1" applyAlignment="1" applyProtection="1">
      <alignment horizontal="left" vertical="center" shrinkToFit="1" readingOrder="1"/>
      <protection hidden="1"/>
    </xf>
    <xf numFmtId="2" fontId="5" fillId="0" borderId="98" xfId="0" applyNumberFormat="1" applyFont="1" applyBorder="1" applyAlignment="1" applyProtection="1">
      <alignment horizontal="center" textRotation="90"/>
      <protection hidden="1"/>
    </xf>
    <xf numFmtId="2" fontId="1" fillId="11" borderId="56" xfId="0" applyNumberFormat="1" applyFont="1" applyFill="1" applyBorder="1" applyAlignment="1" applyProtection="1">
      <alignment horizontal="center" vertical="center" textRotation="90" wrapText="1"/>
      <protection hidden="1"/>
    </xf>
    <xf numFmtId="2" fontId="1" fillId="11" borderId="23" xfId="0" applyNumberFormat="1" applyFont="1" applyFill="1" applyBorder="1" applyAlignment="1" applyProtection="1">
      <alignment horizontal="center" vertical="center" textRotation="90" wrapText="1"/>
      <protection hidden="1"/>
    </xf>
    <xf numFmtId="2" fontId="1" fillId="11" borderId="55" xfId="0" applyNumberFormat="1" applyFont="1" applyFill="1" applyBorder="1" applyAlignment="1" applyProtection="1">
      <alignment horizontal="center" vertical="center" textRotation="90" wrapText="1"/>
      <protection hidden="1"/>
    </xf>
    <xf numFmtId="2" fontId="1" fillId="2" borderId="1" xfId="0" applyNumberFormat="1" applyFont="1" applyFill="1" applyBorder="1" applyAlignment="1" applyProtection="1">
      <alignment horizontal="center" vertical="center"/>
      <protection hidden="1"/>
    </xf>
    <xf numFmtId="2" fontId="1" fillId="0" borderId="44" xfId="0" applyNumberFormat="1" applyFont="1" applyBorder="1" applyAlignment="1" applyProtection="1">
      <alignment horizontal="center" vertical="center" wrapText="1"/>
      <protection hidden="1"/>
    </xf>
    <xf numFmtId="2" fontId="1" fillId="0" borderId="45" xfId="0" applyNumberFormat="1" applyFont="1" applyBorder="1" applyAlignment="1" applyProtection="1">
      <alignment horizontal="center" vertical="center" wrapText="1"/>
      <protection hidden="1"/>
    </xf>
    <xf numFmtId="0" fontId="1" fillId="2" borderId="1" xfId="0" applyFont="1" applyFill="1" applyBorder="1" applyAlignment="1" applyProtection="1">
      <alignment horizontal="center" vertical="center"/>
      <protection hidden="1"/>
    </xf>
    <xf numFmtId="2" fontId="1" fillId="2" borderId="56" xfId="0" applyNumberFormat="1" applyFont="1" applyFill="1" applyBorder="1" applyAlignment="1" applyProtection="1">
      <alignment horizontal="center" vertical="center" textRotation="90" wrapText="1"/>
      <protection hidden="1"/>
    </xf>
    <xf numFmtId="2" fontId="1" fillId="2" borderId="23" xfId="0" applyNumberFormat="1" applyFont="1" applyFill="1" applyBorder="1" applyAlignment="1" applyProtection="1">
      <alignment horizontal="center" vertical="center" textRotation="90" wrapText="1"/>
      <protection hidden="1"/>
    </xf>
    <xf numFmtId="2" fontId="1" fillId="2" borderId="55" xfId="0" applyNumberFormat="1" applyFont="1" applyFill="1" applyBorder="1" applyAlignment="1" applyProtection="1">
      <alignment horizontal="center" vertical="center" textRotation="90" wrapText="1"/>
      <protection hidden="1"/>
    </xf>
    <xf numFmtId="2" fontId="1" fillId="2" borderId="56" xfId="0" applyNumberFormat="1" applyFont="1" applyFill="1" applyBorder="1" applyAlignment="1" applyProtection="1">
      <alignment horizontal="center" vertical="center"/>
      <protection hidden="1"/>
    </xf>
    <xf numFmtId="2" fontId="1" fillId="2" borderId="55" xfId="0" applyNumberFormat="1" applyFont="1" applyFill="1" applyBorder="1" applyAlignment="1" applyProtection="1">
      <alignment horizontal="center" vertical="center"/>
      <protection hidden="1"/>
    </xf>
    <xf numFmtId="2" fontId="1" fillId="0" borderId="46" xfId="0" applyNumberFormat="1" applyFont="1" applyBorder="1" applyAlignment="1" applyProtection="1">
      <alignment horizontal="center" vertical="center" shrinkToFit="1"/>
      <protection hidden="1"/>
    </xf>
    <xf numFmtId="2" fontId="1" fillId="0" borderId="47" xfId="0" applyNumberFormat="1" applyFont="1" applyBorder="1" applyAlignment="1" applyProtection="1">
      <alignment horizontal="center" vertical="center" shrinkToFit="1"/>
      <protection hidden="1"/>
    </xf>
    <xf numFmtId="2" fontId="1" fillId="2" borderId="57" xfId="0" applyNumberFormat="1" applyFont="1" applyFill="1" applyBorder="1" applyAlignment="1" applyProtection="1">
      <alignment horizontal="center" vertical="center" textRotation="90" wrapText="1"/>
      <protection hidden="1"/>
    </xf>
    <xf numFmtId="2" fontId="1" fillId="2" borderId="59" xfId="0" applyNumberFormat="1" applyFont="1" applyFill="1" applyBorder="1" applyAlignment="1" applyProtection="1">
      <alignment horizontal="center" vertical="center" textRotation="90" wrapText="1"/>
      <protection hidden="1"/>
    </xf>
    <xf numFmtId="2" fontId="1" fillId="2" borderId="43" xfId="0" applyNumberFormat="1" applyFont="1" applyFill="1" applyBorder="1" applyAlignment="1" applyProtection="1">
      <alignment horizontal="center" vertical="center" textRotation="90" wrapText="1"/>
      <protection hidden="1"/>
    </xf>
    <xf numFmtId="2" fontId="1" fillId="2" borderId="67" xfId="0" applyNumberFormat="1" applyFont="1" applyFill="1" applyBorder="1" applyAlignment="1" applyProtection="1">
      <alignment horizontal="center" vertical="center" textRotation="90" wrapText="1"/>
      <protection hidden="1"/>
    </xf>
    <xf numFmtId="2" fontId="1" fillId="2" borderId="20" xfId="0" applyNumberFormat="1" applyFont="1" applyFill="1" applyBorder="1" applyAlignment="1" applyProtection="1">
      <alignment horizontal="center" vertical="center" textRotation="90" wrapText="1"/>
      <protection hidden="1"/>
    </xf>
    <xf numFmtId="2" fontId="1" fillId="2" borderId="21" xfId="0" applyNumberFormat="1" applyFont="1" applyFill="1" applyBorder="1" applyAlignment="1" applyProtection="1">
      <alignment horizontal="center" vertical="center" textRotation="90" wrapText="1"/>
      <protection hidden="1"/>
    </xf>
    <xf numFmtId="2" fontId="1" fillId="15" borderId="56" xfId="0" applyNumberFormat="1" applyFont="1" applyFill="1" applyBorder="1" applyAlignment="1" applyProtection="1">
      <alignment horizontal="center" vertical="center" textRotation="90" wrapText="1"/>
      <protection hidden="1"/>
    </xf>
    <xf numFmtId="2" fontId="1" fillId="15" borderId="23" xfId="0" applyNumberFormat="1" applyFont="1" applyFill="1" applyBorder="1" applyAlignment="1" applyProtection="1">
      <alignment horizontal="center" vertical="center" textRotation="90" wrapText="1"/>
      <protection hidden="1"/>
    </xf>
    <xf numFmtId="2" fontId="5" fillId="25" borderId="53" xfId="0" applyNumberFormat="1" applyFont="1" applyFill="1" applyBorder="1" applyAlignment="1" applyProtection="1">
      <alignment horizontal="left"/>
      <protection hidden="1"/>
    </xf>
    <xf numFmtId="2" fontId="4" fillId="25" borderId="53" xfId="0" applyNumberFormat="1" applyFont="1" applyFill="1" applyBorder="1" applyAlignment="1" applyProtection="1">
      <alignment horizontal="left"/>
      <protection hidden="1"/>
    </xf>
    <xf numFmtId="0" fontId="1" fillId="8" borderId="1" xfId="0" applyFont="1" applyFill="1" applyBorder="1" applyAlignment="1" applyProtection="1">
      <alignment horizontal="center" vertical="center"/>
      <protection hidden="1"/>
    </xf>
    <xf numFmtId="2" fontId="1" fillId="8" borderId="56" xfId="0" applyNumberFormat="1" applyFont="1" applyFill="1" applyBorder="1" applyAlignment="1" applyProtection="1">
      <alignment horizontal="center" vertical="center" wrapText="1"/>
      <protection hidden="1"/>
    </xf>
    <xf numFmtId="2" fontId="1" fillId="8" borderId="55" xfId="0" applyNumberFormat="1" applyFont="1" applyFill="1" applyBorder="1" applyAlignment="1" applyProtection="1">
      <alignment horizontal="center" vertical="center" wrapText="1"/>
      <protection hidden="1"/>
    </xf>
    <xf numFmtId="2" fontId="5" fillId="27" borderId="9" xfId="0" applyNumberFormat="1" applyFont="1" applyFill="1" applyBorder="1" applyAlignment="1" applyProtection="1">
      <alignment horizontal="center"/>
      <protection hidden="1"/>
    </xf>
    <xf numFmtId="2" fontId="5" fillId="27" borderId="52" xfId="0" applyNumberFormat="1" applyFont="1" applyFill="1" applyBorder="1" applyAlignment="1" applyProtection="1">
      <alignment horizontal="center"/>
      <protection hidden="1"/>
    </xf>
    <xf numFmtId="0" fontId="4" fillId="11" borderId="53" xfId="0" applyFont="1" applyFill="1" applyBorder="1" applyAlignment="1" applyProtection="1">
      <alignment horizontal="left" vertical="center" wrapText="1"/>
      <protection hidden="1"/>
    </xf>
    <xf numFmtId="0" fontId="4" fillId="11" borderId="53" xfId="0" applyFont="1" applyFill="1" applyBorder="1" applyAlignment="1" applyProtection="1">
      <alignment horizontal="left"/>
      <protection hidden="1"/>
    </xf>
    <xf numFmtId="176" fontId="1" fillId="0" borderId="9" xfId="0" applyNumberFormat="1" applyFont="1" applyBorder="1" applyAlignment="1" applyProtection="1">
      <alignment horizontal="left"/>
      <protection hidden="1"/>
    </xf>
    <xf numFmtId="176" fontId="1" fillId="0" borderId="62" xfId="0" applyNumberFormat="1" applyFont="1" applyBorder="1" applyAlignment="1" applyProtection="1">
      <alignment horizontal="left"/>
      <protection hidden="1"/>
    </xf>
    <xf numFmtId="176" fontId="1" fillId="0" borderId="52" xfId="0" applyNumberFormat="1" applyFont="1" applyBorder="1" applyAlignment="1" applyProtection="1">
      <alignment horizontal="left"/>
      <protection hidden="1"/>
    </xf>
    <xf numFmtId="0" fontId="0" fillId="0" borderId="9" xfId="0" applyBorder="1" applyAlignment="1" applyProtection="1">
      <alignment horizontal="left"/>
      <protection hidden="1"/>
    </xf>
    <xf numFmtId="0" fontId="0" fillId="0" borderId="62" xfId="0" applyBorder="1" applyAlignment="1" applyProtection="1">
      <alignment horizontal="left"/>
      <protection hidden="1"/>
    </xf>
    <xf numFmtId="0" fontId="0" fillId="0" borderId="52" xfId="0" applyBorder="1" applyAlignment="1" applyProtection="1">
      <alignment horizontal="left"/>
      <protection hidden="1"/>
    </xf>
    <xf numFmtId="0" fontId="3" fillId="0" borderId="9" xfId="0" applyFont="1" applyBorder="1" applyAlignment="1" applyProtection="1">
      <alignment horizontal="left"/>
      <protection hidden="1"/>
    </xf>
    <xf numFmtId="0" fontId="3" fillId="0" borderId="62" xfId="0" applyFont="1" applyBorder="1" applyAlignment="1" applyProtection="1">
      <alignment horizontal="left"/>
      <protection hidden="1"/>
    </xf>
    <xf numFmtId="0" fontId="3" fillId="0" borderId="52" xfId="0" applyFont="1" applyBorder="1" applyAlignment="1" applyProtection="1">
      <alignment horizontal="left"/>
      <protection hidden="1"/>
    </xf>
    <xf numFmtId="0" fontId="3" fillId="0" borderId="53" xfId="0" applyFont="1" applyBorder="1" applyAlignment="1" applyProtection="1">
      <alignment horizontal="center"/>
      <protection hidden="1"/>
    </xf>
    <xf numFmtId="0" fontId="4" fillId="0" borderId="53" xfId="0" applyFont="1" applyBorder="1" applyAlignment="1" applyProtection="1">
      <alignment horizontal="center" wrapText="1"/>
      <protection hidden="1"/>
    </xf>
    <xf numFmtId="0" fontId="3" fillId="0" borderId="43" xfId="0" applyFont="1" applyBorder="1" applyAlignment="1" applyProtection="1">
      <alignment horizontal="left"/>
      <protection hidden="1"/>
    </xf>
    <xf numFmtId="0" fontId="16" fillId="0" borderId="9" xfId="0" applyFont="1" applyBorder="1" applyAlignment="1">
      <alignment horizontal="center"/>
    </xf>
    <xf numFmtId="0" fontId="16" fillId="0" borderId="25" xfId="0" applyFont="1" applyBorder="1" applyAlignment="1">
      <alignment horizontal="center"/>
    </xf>
    <xf numFmtId="0" fontId="16" fillId="0" borderId="26" xfId="0" applyFont="1" applyBorder="1" applyAlignment="1">
      <alignment horizontal="center"/>
    </xf>
    <xf numFmtId="0" fontId="17" fillId="12" borderId="8" xfId="0" applyFont="1" applyFill="1" applyBorder="1" applyAlignment="1" applyProtection="1">
      <alignment horizontal="left" shrinkToFit="1"/>
      <protection locked="0"/>
    </xf>
    <xf numFmtId="0" fontId="17" fillId="12" borderId="93" xfId="0" applyFont="1" applyFill="1" applyBorder="1" applyAlignment="1" applyProtection="1">
      <alignment horizontal="left" shrinkToFit="1"/>
      <protection locked="0"/>
    </xf>
    <xf numFmtId="0" fontId="12" fillId="12" borderId="0" xfId="0" applyFont="1" applyFill="1" applyAlignment="1" applyProtection="1">
      <alignment horizontal="left" shrinkToFit="1"/>
      <protection locked="0"/>
    </xf>
    <xf numFmtId="0" fontId="12" fillId="12" borderId="67" xfId="0" applyFont="1" applyFill="1" applyBorder="1" applyAlignment="1" applyProtection="1">
      <alignment horizontal="left" shrinkToFit="1"/>
      <protection locked="0"/>
    </xf>
    <xf numFmtId="0" fontId="16" fillId="0" borderId="54" xfId="0" applyFont="1" applyBorder="1" applyAlignment="1">
      <alignment horizontal="center" vertical="center"/>
    </xf>
    <xf numFmtId="0" fontId="16" fillId="0" borderId="21" xfId="0" applyFont="1" applyBorder="1" applyAlignment="1">
      <alignment horizontal="center" vertical="center"/>
    </xf>
    <xf numFmtId="0" fontId="16" fillId="0" borderId="52" xfId="0" applyFont="1" applyBorder="1" applyAlignment="1">
      <alignment horizontal="center"/>
    </xf>
    <xf numFmtId="0" fontId="16" fillId="0" borderId="56" xfId="0" applyFont="1" applyBorder="1" applyAlignment="1">
      <alignment horizontal="center" vertical="center" wrapText="1"/>
    </xf>
    <xf numFmtId="0" fontId="16" fillId="0" borderId="5" xfId="0" applyFont="1" applyBorder="1" applyAlignment="1">
      <alignment horizontal="center" vertical="center" wrapText="1"/>
    </xf>
    <xf numFmtId="164" fontId="12" fillId="12" borderId="7" xfId="0" applyNumberFormat="1" applyFont="1" applyFill="1" applyBorder="1" applyAlignment="1" applyProtection="1">
      <alignment horizontal="center"/>
      <protection locked="0"/>
    </xf>
    <xf numFmtId="164" fontId="12" fillId="3" borderId="7" xfId="0" applyNumberFormat="1" applyFont="1" applyFill="1" applyBorder="1" applyAlignment="1" applyProtection="1">
      <alignment horizontal="center"/>
      <protection locked="0"/>
    </xf>
    <xf numFmtId="0" fontId="17" fillId="12" borderId="92" xfId="0" applyFont="1" applyFill="1" applyBorder="1" applyAlignment="1" applyProtection="1">
      <alignment horizontal="left" shrinkToFit="1"/>
      <protection locked="0"/>
    </xf>
    <xf numFmtId="0" fontId="17" fillId="12" borderId="50" xfId="0" applyFont="1" applyFill="1" applyBorder="1" applyAlignment="1" applyProtection="1">
      <alignment horizontal="left" shrinkToFit="1"/>
      <protection locked="0"/>
    </xf>
    <xf numFmtId="0" fontId="12" fillId="12" borderId="7" xfId="0" applyFont="1" applyFill="1" applyBorder="1" applyAlignment="1" applyProtection="1">
      <alignment horizontal="center"/>
      <protection locked="0"/>
    </xf>
    <xf numFmtId="0" fontId="0" fillId="12" borderId="7" xfId="0" applyFill="1" applyBorder="1" applyAlignment="1" applyProtection="1">
      <alignment horizontal="center"/>
      <protection locked="0"/>
    </xf>
    <xf numFmtId="49" fontId="35" fillId="12" borderId="53" xfId="2" applyNumberFormat="1" applyFill="1" applyBorder="1" applyAlignment="1" applyProtection="1">
      <alignment horizontal="left"/>
      <protection locked="0"/>
    </xf>
    <xf numFmtId="49" fontId="12" fillId="12" borderId="53" xfId="0" applyNumberFormat="1" applyFont="1" applyFill="1" applyBorder="1" applyAlignment="1" applyProtection="1">
      <alignment horizontal="left"/>
      <protection locked="0"/>
    </xf>
    <xf numFmtId="0" fontId="4" fillId="0" borderId="23" xfId="0" applyFont="1" applyBorder="1" applyAlignment="1">
      <alignment horizont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0" fillId="0" borderId="30" xfId="0" applyBorder="1" applyAlignment="1">
      <alignment horizontal="left" vertical="center"/>
    </xf>
    <xf numFmtId="0" fontId="0" fillId="0" borderId="20" xfId="0" applyBorder="1" applyAlignment="1">
      <alignment horizontal="left" vertical="center"/>
    </xf>
    <xf numFmtId="0" fontId="0" fillId="0" borderId="3" xfId="0" applyBorder="1" applyAlignment="1">
      <alignment horizontal="left" vertical="center"/>
    </xf>
    <xf numFmtId="0" fontId="12" fillId="0" borderId="0" xfId="0" applyFont="1" applyAlignment="1">
      <alignment horizontal="left"/>
    </xf>
    <xf numFmtId="10" fontId="12" fillId="0" borderId="0" xfId="0" applyNumberFormat="1" applyFont="1" applyAlignment="1">
      <alignment horizontal="left"/>
    </xf>
    <xf numFmtId="0" fontId="10" fillId="0" borderId="33" xfId="0" applyFont="1" applyBorder="1" applyAlignment="1">
      <alignment horizontal="center" vertical="center"/>
    </xf>
    <xf numFmtId="0" fontId="10" fillId="0" borderId="21" xfId="0" applyFont="1" applyBorder="1" applyAlignment="1">
      <alignment horizontal="center" vertical="center"/>
    </xf>
    <xf numFmtId="14" fontId="12" fillId="12" borderId="53" xfId="0" applyNumberFormat="1" applyFont="1" applyFill="1" applyBorder="1" applyAlignment="1" applyProtection="1">
      <alignment horizontal="left"/>
      <protection locked="0"/>
    </xf>
    <xf numFmtId="0" fontId="16" fillId="0" borderId="0" xfId="0" applyFont="1"/>
    <xf numFmtId="0" fontId="12" fillId="0" borderId="0" xfId="0" applyFont="1"/>
    <xf numFmtId="0" fontId="12" fillId="12" borderId="0" xfId="0" applyFont="1" applyFill="1" applyAlignment="1">
      <alignment horizontal="left"/>
    </xf>
    <xf numFmtId="0" fontId="49" fillId="0" borderId="23" xfId="0" applyFont="1" applyBorder="1" applyAlignment="1">
      <alignment horizontal="center"/>
    </xf>
    <xf numFmtId="0" fontId="12" fillId="0" borderId="43" xfId="0" applyFont="1" applyBorder="1" applyAlignment="1">
      <alignment horizontal="left" wrapText="1"/>
    </xf>
    <xf numFmtId="0" fontId="12" fillId="0" borderId="0" xfId="0" applyFont="1" applyAlignment="1">
      <alignment horizontal="left" wrapText="1"/>
    </xf>
    <xf numFmtId="0" fontId="12" fillId="0" borderId="67" xfId="0" applyFont="1" applyBorder="1" applyAlignment="1">
      <alignment horizontal="left" wrapText="1"/>
    </xf>
    <xf numFmtId="0" fontId="51" fillId="0" borderId="2" xfId="0" applyFont="1" applyBorder="1" applyAlignment="1">
      <alignment horizontal="center" vertical="center" wrapText="1"/>
    </xf>
    <xf numFmtId="0" fontId="48" fillId="0" borderId="2" xfId="0" applyFont="1" applyBorder="1" applyAlignment="1">
      <alignment horizontal="center" vertical="center" wrapText="1"/>
    </xf>
    <xf numFmtId="175" fontId="3" fillId="0" borderId="53" xfId="0" applyNumberFormat="1" applyFont="1" applyBorder="1" applyAlignment="1" applyProtection="1">
      <alignment horizontal="left"/>
      <protection hidden="1"/>
    </xf>
    <xf numFmtId="0" fontId="1" fillId="0" borderId="9" xfId="0" applyFont="1" applyBorder="1" applyAlignment="1" applyProtection="1">
      <alignment horizontal="center" vertical="center" wrapText="1"/>
      <protection hidden="1"/>
    </xf>
    <xf numFmtId="0" fontId="1" fillId="0" borderId="62" xfId="0" applyFont="1" applyBorder="1" applyAlignment="1" applyProtection="1">
      <alignment horizontal="center" vertical="center" wrapText="1"/>
      <protection hidden="1"/>
    </xf>
    <xf numFmtId="0" fontId="1" fillId="0" borderId="52" xfId="0" applyFont="1" applyBorder="1" applyAlignment="1" applyProtection="1">
      <alignment horizontal="center" vertical="center" wrapText="1"/>
      <protection hidden="1"/>
    </xf>
    <xf numFmtId="175" fontId="3" fillId="0" borderId="9" xfId="0" applyNumberFormat="1" applyFont="1" applyBorder="1" applyAlignment="1" applyProtection="1">
      <alignment horizontal="left"/>
      <protection hidden="1"/>
    </xf>
    <xf numFmtId="175" fontId="3" fillId="0" borderId="52" xfId="0" applyNumberFormat="1" applyFont="1" applyBorder="1" applyAlignment="1" applyProtection="1">
      <alignment horizontal="left"/>
      <protection hidden="1"/>
    </xf>
    <xf numFmtId="14" fontId="1" fillId="0" borderId="53" xfId="0" applyNumberFormat="1" applyFont="1" applyBorder="1" applyAlignment="1" applyProtection="1">
      <alignment horizontal="center" vertical="center" wrapText="1"/>
      <protection hidden="1"/>
    </xf>
    <xf numFmtId="0" fontId="3" fillId="0" borderId="53" xfId="0" applyFont="1" applyBorder="1" applyAlignment="1">
      <alignment horizontal="left"/>
    </xf>
    <xf numFmtId="0" fontId="0" fillId="0" borderId="53" xfId="0" applyBorder="1" applyAlignment="1">
      <alignment horizontal="left"/>
    </xf>
    <xf numFmtId="0" fontId="0" fillId="0" borderId="0" xfId="0" applyAlignment="1">
      <alignment horizontal="left"/>
    </xf>
    <xf numFmtId="0" fontId="1" fillId="0" borderId="0" xfId="0" applyFont="1" applyAlignment="1">
      <alignment horizontal="left"/>
    </xf>
    <xf numFmtId="0" fontId="3" fillId="0" borderId="53" xfId="0" applyFont="1" applyBorder="1" applyAlignment="1">
      <alignment horizontal="left" wrapText="1"/>
    </xf>
    <xf numFmtId="0" fontId="0" fillId="0" borderId="53" xfId="0" applyBorder="1" applyAlignment="1">
      <alignment horizontal="left" wrapText="1"/>
    </xf>
  </cellXfs>
  <cellStyles count="3">
    <cellStyle name="Komma" xfId="1" builtinId="3"/>
    <cellStyle name="Link" xfId="2" builtinId="8"/>
    <cellStyle name="Standard" xfId="0" builtinId="0"/>
  </cellStyles>
  <dxfs count="131">
    <dxf>
      <fill>
        <patternFill patternType="lightUp"/>
      </fill>
    </dxf>
    <dxf>
      <fill>
        <patternFill patternType="lightUp"/>
      </fill>
    </dxf>
    <dxf>
      <font>
        <color rgb="FFFF0000"/>
      </font>
    </dxf>
    <dxf>
      <font>
        <color rgb="FFFF0000"/>
      </font>
    </dxf>
    <dxf>
      <fill>
        <patternFill patternType="lightUp"/>
      </fill>
    </dxf>
    <dxf>
      <fill>
        <patternFill patternType="lightUp"/>
      </fill>
    </dxf>
    <dxf>
      <font>
        <color rgb="FFFF0000"/>
      </font>
    </dxf>
    <dxf>
      <font>
        <color rgb="FFFF0000"/>
      </font>
    </dxf>
    <dxf>
      <fill>
        <patternFill patternType="lightUp"/>
      </fill>
    </dxf>
    <dxf>
      <fill>
        <patternFill patternType="lightUp"/>
      </fill>
    </dxf>
    <dxf>
      <font>
        <color rgb="FFFF0000"/>
      </font>
    </dxf>
    <dxf>
      <font>
        <color rgb="FFFF0000"/>
      </font>
    </dxf>
    <dxf>
      <fill>
        <patternFill patternType="lightUp"/>
      </fill>
    </dxf>
    <dxf>
      <fill>
        <patternFill patternType="lightUp"/>
      </fill>
    </dxf>
    <dxf>
      <font>
        <color rgb="FFFF0000"/>
      </font>
    </dxf>
    <dxf>
      <font>
        <color rgb="FFFF0000"/>
      </font>
    </dxf>
    <dxf>
      <fill>
        <patternFill patternType="lightUp"/>
      </fill>
    </dxf>
    <dxf>
      <fill>
        <patternFill>
          <bgColor rgb="FFDA9694"/>
        </patternFill>
      </fill>
    </dxf>
    <dxf>
      <fill>
        <patternFill patternType="lightUp"/>
      </fill>
    </dxf>
    <dxf>
      <font>
        <color rgb="FFFF0000"/>
      </font>
    </dxf>
    <dxf>
      <fill>
        <patternFill>
          <bgColor theme="1"/>
        </patternFill>
      </fill>
    </dxf>
    <dxf>
      <font>
        <color rgb="FFFF0000"/>
      </font>
    </dxf>
    <dxf>
      <fill>
        <patternFill patternType="lightUp"/>
      </fill>
    </dxf>
    <dxf>
      <fill>
        <patternFill patternType="lightUp"/>
      </fill>
    </dxf>
    <dxf>
      <fill>
        <patternFill>
          <bgColor rgb="FFD9D9D9"/>
        </patternFill>
      </fill>
    </dxf>
    <dxf>
      <fill>
        <patternFill>
          <bgColor rgb="FFFCD5B4"/>
        </patternFill>
      </fill>
    </dxf>
    <dxf>
      <fill>
        <patternFill>
          <bgColor rgb="FFD8E4BC"/>
        </patternFill>
      </fill>
    </dxf>
    <dxf>
      <fill>
        <patternFill>
          <bgColor rgb="FFCCC0DA"/>
        </patternFill>
      </fill>
    </dxf>
    <dxf>
      <fill>
        <patternFill>
          <bgColor rgb="FFC5D9F1"/>
        </patternFill>
      </fill>
    </dxf>
    <dxf>
      <fill>
        <patternFill>
          <bgColor rgb="FFF2FD8B"/>
        </patternFill>
      </fill>
    </dxf>
    <dxf>
      <fill>
        <patternFill>
          <bgColor rgb="FF4BACC6"/>
        </patternFill>
      </fill>
    </dxf>
    <dxf>
      <fill>
        <patternFill>
          <bgColor rgb="FF8DB4E2"/>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rgb="FFB7FFB7"/>
        </patternFill>
      </fill>
    </dxf>
    <dxf>
      <fill>
        <patternFill>
          <bgColor theme="0" tint="-0.14996795556505021"/>
        </patternFill>
      </fill>
    </dxf>
    <dxf>
      <font>
        <b/>
        <i val="0"/>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B7FFB7"/>
        </patternFill>
      </fill>
    </dxf>
    <dxf>
      <fill>
        <patternFill>
          <bgColor rgb="FFB7FFB7"/>
        </patternFill>
      </fill>
    </dxf>
    <dxf>
      <fill>
        <patternFill>
          <bgColor theme="0" tint="-0.14996795556505021"/>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8B"/>
      <rgbColor rgb="00B7FFB7"/>
      <rgbColor rgb="00FF0000"/>
      <rgbColor rgb="0099FF66"/>
      <rgbColor rgb="000000FF"/>
      <rgbColor rgb="00FFFF99"/>
      <rgbColor rgb="00FF00FF"/>
      <rgbColor rgb="0000FFFF"/>
      <rgbColor rgb="00800000"/>
      <rgbColor rgb="00008000"/>
      <rgbColor rgb="00000080"/>
      <rgbColor rgb="00808000"/>
      <rgbColor rgb="00800080"/>
      <rgbColor rgb="00008080"/>
      <rgbColor rgb="00FFB7FF"/>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FFFFBE"/>
      <rgbColor rgb="00CCFFCC"/>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BE"/>
      <color rgb="FFFFFFFF"/>
      <color rgb="FFF2FD8B"/>
      <color rgb="FFF2DCDB"/>
      <color rgb="FFDCEFF4"/>
      <color rgb="FFB7FFB7"/>
      <color rgb="FF4BACC6"/>
      <color rgb="FF8DB4E2"/>
      <color rgb="FFFCD5B4"/>
      <color rgb="FFE6B8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23753569265380289"/>
          <c:y val="0.11042372881355933"/>
          <c:w val="0.52492861469239427"/>
          <c:h val="0.7084312024556253"/>
        </c:manualLayout>
      </c:layout>
      <c:pieChart>
        <c:varyColors val="1"/>
        <c:ser>
          <c:idx val="0"/>
          <c:order val="0"/>
          <c:tx>
            <c:strRef>
              <c:f>Arbeitsber.!$C$4</c:f>
              <c:strCache>
                <c:ptCount val="1"/>
                <c:pt idx="0">
                  <c:v>Jahrestotal in Std.</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630-4E88-9824-B892B2AD5F4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630-4E88-9824-B892B2AD5F4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630-4E88-9824-B892B2AD5F4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630-4E88-9824-B892B2AD5F4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630-4E88-9824-B892B2AD5F4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630-4E88-9824-B892B2AD5F4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630-4E88-9824-B892B2AD5F4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630-4E88-9824-B892B2AD5F4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630-4E88-9824-B892B2AD5F4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630-4E88-9824-B892B2AD5F4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C630-4E88-9824-B892B2AD5F46}"/>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C630-4E88-9824-B892B2AD5F46}"/>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C630-4E88-9824-B892B2AD5F46}"/>
              </c:ext>
            </c:extLst>
          </c:dPt>
          <c:cat>
            <c:strRef>
              <c:f>Arbeitsber.!$B$5:$B$17</c:f>
              <c:strCache>
                <c:ptCount val="13"/>
                <c:pt idx="0">
                  <c:v>GD, Kasualien </c:v>
                </c:pt>
                <c:pt idx="1">
                  <c:v>KUW</c:v>
                </c:pt>
                <c:pt idx="2">
                  <c:v>Seelsorge</c:v>
                </c:pt>
                <c:pt idx="3">
                  <c:v>Gemeindearbeit</c:v>
                </c:pt>
                <c:pt idx="4">
                  <c:v>Administration</c:v>
                </c:pt>
                <c:pt idx="5">
                  <c:v>Theol. Reflex.</c:v>
                </c:pt>
                <c:pt idx="12">
                  <c:v>Sonstiges</c:v>
                </c:pt>
              </c:strCache>
            </c:strRef>
          </c:cat>
          <c:val>
            <c:numRef>
              <c:f>Arbeitsber.!$C$5:$C$17</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81C6-43D2-A73A-2B9750073983}"/>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1"/>
                <c:order val="1"/>
                <c:tx>
                  <c:strRef>
                    <c:extLst>
                      <c:ext uri="{02D57815-91ED-43cb-92C2-25804820EDAC}">
                        <c15:formulaRef>
                          <c15:sqref>Arbeitsber.!$D$4</c15:sqref>
                        </c15:formulaRef>
                      </c:ext>
                    </c:extLst>
                    <c:strCache>
                      <c:ptCount val="1"/>
                      <c:pt idx="0">
                        <c:v>Jahrestotal in Ganztage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1B-C630-4E88-9824-B892B2AD5F4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D-C630-4E88-9824-B892B2AD5F4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F-C630-4E88-9824-B892B2AD5F4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21-C630-4E88-9824-B892B2AD5F4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3-C630-4E88-9824-B892B2AD5F4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5-C630-4E88-9824-B892B2AD5F4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7-C630-4E88-9824-B892B2AD5F4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9-C630-4E88-9824-B892B2AD5F4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B-C630-4E88-9824-B892B2AD5F4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D-C630-4E88-9824-B892B2AD5F4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2F-C630-4E88-9824-B892B2AD5F46}"/>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1-C630-4E88-9824-B892B2AD5F46}"/>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3-C630-4E88-9824-B892B2AD5F46}"/>
                    </c:ext>
                  </c:extLst>
                </c:dPt>
                <c:cat>
                  <c:strRef>
                    <c:extLst>
                      <c:ext uri="{02D57815-91ED-43cb-92C2-25804820EDAC}">
                        <c15:formulaRef>
                          <c15:sqref>Arbeitsber.!$B$5:$B$17</c15:sqref>
                        </c15:formulaRef>
                      </c:ext>
                    </c:extLst>
                    <c:strCache>
                      <c:ptCount val="13"/>
                      <c:pt idx="0">
                        <c:v>GD, Kasualien </c:v>
                      </c:pt>
                      <c:pt idx="1">
                        <c:v>KUW</c:v>
                      </c:pt>
                      <c:pt idx="2">
                        <c:v>Seelsorge</c:v>
                      </c:pt>
                      <c:pt idx="3">
                        <c:v>Gemeindearbeit</c:v>
                      </c:pt>
                      <c:pt idx="4">
                        <c:v>Administration</c:v>
                      </c:pt>
                      <c:pt idx="5">
                        <c:v>Theol. Reflex.</c:v>
                      </c:pt>
                      <c:pt idx="12">
                        <c:v>Sonstiges</c:v>
                      </c:pt>
                    </c:strCache>
                  </c:strRef>
                </c:cat>
                <c:val>
                  <c:numRef>
                    <c:extLst>
                      <c:ext uri="{02D57815-91ED-43cb-92C2-25804820EDAC}">
                        <c15:formulaRef>
                          <c15:sqref>Arbeitsber.!$D$5:$D$17</c15:sqref>
                        </c15:formulaRef>
                      </c:ext>
                    </c:extLst>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81C6-43D2-A73A-2B9750073983}"/>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hyperlink" Target="#Deckblatt!D8"/><Relationship Id="rId2" Type="http://schemas.openxmlformats.org/officeDocument/2006/relationships/image" Target="../media/image1.png"/><Relationship Id="rId1" Type="http://schemas.openxmlformats.org/officeDocument/2006/relationships/hyperlink" Target="#'LIES MICH'!B40"/><Relationship Id="rId5" Type="http://schemas.openxmlformats.org/officeDocument/2006/relationships/hyperlink" Target="#Deckblatt!G11"/><Relationship Id="rId4" Type="http://schemas.openxmlformats.org/officeDocument/2006/relationships/hyperlink" Target="#Deckblatt!H15"/></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LIES MICH'!B80"/><Relationship Id="rId2" Type="http://schemas.openxmlformats.org/officeDocument/2006/relationships/image" Target="../media/image1.png"/><Relationship Id="rId1" Type="http://schemas.openxmlformats.org/officeDocument/2006/relationships/hyperlink" Target="#'LIES MICH'!B58"/><Relationship Id="rId4" Type="http://schemas.openxmlformats.org/officeDocument/2006/relationships/hyperlink" Target="#'LIES MICH'!B87"/></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1</xdr:col>
      <xdr:colOff>2657475</xdr:colOff>
      <xdr:row>41</xdr:row>
      <xdr:rowOff>19050</xdr:rowOff>
    </xdr:from>
    <xdr:to>
      <xdr:col>1</xdr:col>
      <xdr:colOff>2801475</xdr:colOff>
      <xdr:row>41</xdr:row>
      <xdr:rowOff>163050</xdr:rowOff>
    </xdr:to>
    <xdr:pic>
      <xdr:nvPicPr>
        <xdr:cNvPr id="2" name="Grafik 1" descr="Symbol Information Computer Icons, Informationen, Bereich, Kreis, Computer- Icons png | PNGWing">
          <a:extLst>
            <a:ext uri="{FF2B5EF4-FFF2-40B4-BE49-F238E27FC236}">
              <a16:creationId xmlns:a16="http://schemas.microsoft.com/office/drawing/2014/main" id="{A1528A9D-C01F-4282-98E4-FE390C316C4A}"/>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7025" y="13077825"/>
          <a:ext cx="144000" cy="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38101</xdr:colOff>
      <xdr:row>49</xdr:row>
      <xdr:rowOff>38101</xdr:rowOff>
    </xdr:from>
    <xdr:to>
      <xdr:col>1</xdr:col>
      <xdr:colOff>6553201</xdr:colOff>
      <xdr:row>59</xdr:row>
      <xdr:rowOff>29193</xdr:rowOff>
    </xdr:to>
    <xdr:pic>
      <xdr:nvPicPr>
        <xdr:cNvPr id="3" name="Grafik 2">
          <a:extLst>
            <a:ext uri="{FF2B5EF4-FFF2-40B4-BE49-F238E27FC236}">
              <a16:creationId xmlns:a16="http://schemas.microsoft.com/office/drawing/2014/main" id="{1A8AE021-DA70-4B89-8410-6BEB989067C4}"/>
            </a:ext>
          </a:extLst>
        </xdr:cNvPr>
        <xdr:cNvPicPr>
          <a:picLocks noChangeAspect="1"/>
        </xdr:cNvPicPr>
      </xdr:nvPicPr>
      <xdr:blipFill>
        <a:blip xmlns:r="http://schemas.openxmlformats.org/officeDocument/2006/relationships" r:embed="rId2"/>
        <a:stretch>
          <a:fillRect/>
        </a:stretch>
      </xdr:blipFill>
      <xdr:spPr>
        <a:xfrm>
          <a:off x="247651" y="10401301"/>
          <a:ext cx="6515100" cy="1800842"/>
        </a:xfrm>
        <a:prstGeom prst="rect">
          <a:avLst/>
        </a:prstGeom>
      </xdr:spPr>
    </xdr:pic>
    <xdr:clientData/>
  </xdr:twoCellAnchor>
  <xdr:twoCellAnchor editAs="oneCell">
    <xdr:from>
      <xdr:col>1</xdr:col>
      <xdr:colOff>85724</xdr:colOff>
      <xdr:row>64</xdr:row>
      <xdr:rowOff>85725</xdr:rowOff>
    </xdr:from>
    <xdr:to>
      <xdr:col>1</xdr:col>
      <xdr:colOff>5227350</xdr:colOff>
      <xdr:row>80</xdr:row>
      <xdr:rowOff>114302</xdr:rowOff>
    </xdr:to>
    <xdr:pic>
      <xdr:nvPicPr>
        <xdr:cNvPr id="4" name="Grafik 3">
          <a:extLst>
            <a:ext uri="{FF2B5EF4-FFF2-40B4-BE49-F238E27FC236}">
              <a16:creationId xmlns:a16="http://schemas.microsoft.com/office/drawing/2014/main" id="{CE29EE56-351D-4BC4-95EF-0B2FDCA20D7F}"/>
            </a:ext>
          </a:extLst>
        </xdr:cNvPr>
        <xdr:cNvPicPr>
          <a:picLocks noChangeAspect="1"/>
        </xdr:cNvPicPr>
      </xdr:nvPicPr>
      <xdr:blipFill rotWithShape="1">
        <a:blip xmlns:r="http://schemas.openxmlformats.org/officeDocument/2006/relationships" r:embed="rId3"/>
        <a:srcRect l="1" t="3833" r="-15" b="42177"/>
        <a:stretch/>
      </xdr:blipFill>
      <xdr:spPr>
        <a:xfrm>
          <a:off x="85724" y="13925550"/>
          <a:ext cx="5141626" cy="2619377"/>
        </a:xfrm>
        <a:prstGeom prst="rect">
          <a:avLst/>
        </a:prstGeom>
      </xdr:spPr>
    </xdr:pic>
    <xdr:clientData/>
  </xdr:twoCellAnchor>
  <xdr:twoCellAnchor editAs="oneCell">
    <xdr:from>
      <xdr:col>1</xdr:col>
      <xdr:colOff>533400</xdr:colOff>
      <xdr:row>19</xdr:row>
      <xdr:rowOff>28575</xdr:rowOff>
    </xdr:from>
    <xdr:to>
      <xdr:col>1</xdr:col>
      <xdr:colOff>677400</xdr:colOff>
      <xdr:row>19</xdr:row>
      <xdr:rowOff>171930</xdr:rowOff>
    </xdr:to>
    <xdr:pic>
      <xdr:nvPicPr>
        <xdr:cNvPr id="5" name="Grafik 4" descr="Symbol Information Computer Icons, Informationen, Bereich, Kreis, Computer- Icons png | PNGWing">
          <a:extLst>
            <a:ext uri="{FF2B5EF4-FFF2-40B4-BE49-F238E27FC236}">
              <a16:creationId xmlns:a16="http://schemas.microsoft.com/office/drawing/2014/main" id="{6F2359ED-842A-484B-8022-4A84D65BF477}"/>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 y="6915150"/>
          <a:ext cx="144000" cy="14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22713</xdr:colOff>
      <xdr:row>85</xdr:row>
      <xdr:rowOff>16354</xdr:rowOff>
    </xdr:from>
    <xdr:to>
      <xdr:col>1</xdr:col>
      <xdr:colOff>202713</xdr:colOff>
      <xdr:row>85</xdr:row>
      <xdr:rowOff>207082</xdr:rowOff>
    </xdr:to>
    <xdr:pic>
      <xdr:nvPicPr>
        <xdr:cNvPr id="6" name="Grafik 5">
          <a:extLst>
            <a:ext uri="{FF2B5EF4-FFF2-40B4-BE49-F238E27FC236}">
              <a16:creationId xmlns:a16="http://schemas.microsoft.com/office/drawing/2014/main" id="{93A294D3-B242-4E18-916B-FE200B1A661E}"/>
            </a:ext>
          </a:extLst>
        </xdr:cNvPr>
        <xdr:cNvPicPr>
          <a:picLocks noChangeAspect="1"/>
        </xdr:cNvPicPr>
      </xdr:nvPicPr>
      <xdr:blipFill>
        <a:blip xmlns:r="http://schemas.openxmlformats.org/officeDocument/2006/relationships" r:embed="rId4"/>
        <a:stretch>
          <a:fillRect/>
        </a:stretch>
      </xdr:blipFill>
      <xdr:spPr>
        <a:xfrm>
          <a:off x="229778" y="21079028"/>
          <a:ext cx="180000" cy="190728"/>
        </a:xfrm>
        <a:prstGeom prst="rect">
          <a:avLst/>
        </a:prstGeom>
      </xdr:spPr>
    </xdr:pic>
    <xdr:clientData/>
  </xdr:twoCellAnchor>
  <xdr:twoCellAnchor editAs="oneCell">
    <xdr:from>
      <xdr:col>1</xdr:col>
      <xdr:colOff>25644</xdr:colOff>
      <xdr:row>86</xdr:row>
      <xdr:rowOff>9526</xdr:rowOff>
    </xdr:from>
    <xdr:to>
      <xdr:col>1</xdr:col>
      <xdr:colOff>205644</xdr:colOff>
      <xdr:row>86</xdr:row>
      <xdr:rowOff>208825</xdr:rowOff>
    </xdr:to>
    <xdr:pic>
      <xdr:nvPicPr>
        <xdr:cNvPr id="7" name="Grafik 6">
          <a:extLst>
            <a:ext uri="{FF2B5EF4-FFF2-40B4-BE49-F238E27FC236}">
              <a16:creationId xmlns:a16="http://schemas.microsoft.com/office/drawing/2014/main" id="{BFBB5D2C-8448-4079-97CB-B519FAFD1E7B}"/>
            </a:ext>
          </a:extLst>
        </xdr:cNvPr>
        <xdr:cNvPicPr>
          <a:picLocks noChangeAspect="1"/>
        </xdr:cNvPicPr>
      </xdr:nvPicPr>
      <xdr:blipFill>
        <a:blip xmlns:r="http://schemas.openxmlformats.org/officeDocument/2006/relationships" r:embed="rId5"/>
        <a:stretch>
          <a:fillRect/>
        </a:stretch>
      </xdr:blipFill>
      <xdr:spPr>
        <a:xfrm>
          <a:off x="232709" y="21287548"/>
          <a:ext cx="180000" cy="199299"/>
        </a:xfrm>
        <a:prstGeom prst="rect">
          <a:avLst/>
        </a:prstGeom>
      </xdr:spPr>
    </xdr:pic>
    <xdr:clientData/>
  </xdr:twoCellAnchor>
  <xdr:twoCellAnchor editAs="oneCell">
    <xdr:from>
      <xdr:col>1</xdr:col>
      <xdr:colOff>19781</xdr:colOff>
      <xdr:row>87</xdr:row>
      <xdr:rowOff>10091</xdr:rowOff>
    </xdr:from>
    <xdr:to>
      <xdr:col>1</xdr:col>
      <xdr:colOff>199781</xdr:colOff>
      <xdr:row>88</xdr:row>
      <xdr:rowOff>3517</xdr:rowOff>
    </xdr:to>
    <xdr:pic>
      <xdr:nvPicPr>
        <xdr:cNvPr id="8" name="Grafik 7">
          <a:extLst>
            <a:ext uri="{FF2B5EF4-FFF2-40B4-BE49-F238E27FC236}">
              <a16:creationId xmlns:a16="http://schemas.microsoft.com/office/drawing/2014/main" id="{44B01BFE-C1F7-43FE-BD75-0A57530B941E}"/>
            </a:ext>
          </a:extLst>
        </xdr:cNvPr>
        <xdr:cNvPicPr>
          <a:picLocks noChangeAspect="1"/>
        </xdr:cNvPicPr>
      </xdr:nvPicPr>
      <xdr:blipFill>
        <a:blip xmlns:r="http://schemas.openxmlformats.org/officeDocument/2006/relationships" r:embed="rId6"/>
        <a:stretch>
          <a:fillRect/>
        </a:stretch>
      </xdr:blipFill>
      <xdr:spPr>
        <a:xfrm>
          <a:off x="226846" y="21503461"/>
          <a:ext cx="180000" cy="208773"/>
        </a:xfrm>
        <a:prstGeom prst="rect">
          <a:avLst/>
        </a:prstGeom>
      </xdr:spPr>
    </xdr:pic>
    <xdr:clientData/>
  </xdr:twoCellAnchor>
  <xdr:twoCellAnchor editAs="oneCell">
    <xdr:from>
      <xdr:col>1</xdr:col>
      <xdr:colOff>18361</xdr:colOff>
      <xdr:row>84</xdr:row>
      <xdr:rowOff>37366</xdr:rowOff>
    </xdr:from>
    <xdr:to>
      <xdr:col>1</xdr:col>
      <xdr:colOff>198361</xdr:colOff>
      <xdr:row>85</xdr:row>
      <xdr:rowOff>5145</xdr:rowOff>
    </xdr:to>
    <xdr:pic>
      <xdr:nvPicPr>
        <xdr:cNvPr id="9" name="Grafik 8">
          <a:extLst>
            <a:ext uri="{FF2B5EF4-FFF2-40B4-BE49-F238E27FC236}">
              <a16:creationId xmlns:a16="http://schemas.microsoft.com/office/drawing/2014/main" id="{AB0B22A5-31E2-45B5-B0FB-26F09444C566}"/>
            </a:ext>
          </a:extLst>
        </xdr:cNvPr>
        <xdr:cNvPicPr>
          <a:picLocks noChangeAspect="1"/>
        </xdr:cNvPicPr>
      </xdr:nvPicPr>
      <xdr:blipFill>
        <a:blip xmlns:r="http://schemas.openxmlformats.org/officeDocument/2006/relationships" r:embed="rId7"/>
        <a:stretch>
          <a:fillRect/>
        </a:stretch>
      </xdr:blipFill>
      <xdr:spPr>
        <a:xfrm>
          <a:off x="225426" y="20884692"/>
          <a:ext cx="180000" cy="183127"/>
        </a:xfrm>
        <a:prstGeom prst="rect">
          <a:avLst/>
        </a:prstGeom>
      </xdr:spPr>
    </xdr:pic>
    <xdr:clientData/>
  </xdr:twoCellAnchor>
  <xdr:twoCellAnchor editAs="oneCell">
    <xdr:from>
      <xdr:col>1</xdr:col>
      <xdr:colOff>180976</xdr:colOff>
      <xdr:row>88</xdr:row>
      <xdr:rowOff>145185</xdr:rowOff>
    </xdr:from>
    <xdr:to>
      <xdr:col>1</xdr:col>
      <xdr:colOff>4358787</xdr:colOff>
      <xdr:row>88</xdr:row>
      <xdr:rowOff>693239</xdr:rowOff>
    </xdr:to>
    <xdr:pic>
      <xdr:nvPicPr>
        <xdr:cNvPr id="10" name="Grafik 9">
          <a:extLst>
            <a:ext uri="{FF2B5EF4-FFF2-40B4-BE49-F238E27FC236}">
              <a16:creationId xmlns:a16="http://schemas.microsoft.com/office/drawing/2014/main" id="{3153A83E-6520-441C-96B5-1D86265A5188}"/>
            </a:ext>
          </a:extLst>
        </xdr:cNvPr>
        <xdr:cNvPicPr>
          <a:picLocks noChangeAspect="1"/>
        </xdr:cNvPicPr>
      </xdr:nvPicPr>
      <xdr:blipFill>
        <a:blip xmlns:r="http://schemas.openxmlformats.org/officeDocument/2006/relationships" r:embed="rId8"/>
        <a:stretch>
          <a:fillRect/>
        </a:stretch>
      </xdr:blipFill>
      <xdr:spPr>
        <a:xfrm>
          <a:off x="180976" y="18176010"/>
          <a:ext cx="4177811" cy="548054"/>
        </a:xfrm>
        <a:prstGeom prst="rect">
          <a:avLst/>
        </a:prstGeom>
      </xdr:spPr>
    </xdr:pic>
    <xdr:clientData/>
  </xdr:twoCellAnchor>
  <xdr:twoCellAnchor editAs="oneCell">
    <xdr:from>
      <xdr:col>1</xdr:col>
      <xdr:colOff>161192</xdr:colOff>
      <xdr:row>95</xdr:row>
      <xdr:rowOff>68341</xdr:rowOff>
    </xdr:from>
    <xdr:to>
      <xdr:col>1</xdr:col>
      <xdr:colOff>4286250</xdr:colOff>
      <xdr:row>119</xdr:row>
      <xdr:rowOff>71168</xdr:rowOff>
    </xdr:to>
    <xdr:pic>
      <xdr:nvPicPr>
        <xdr:cNvPr id="11" name="Grafik 10">
          <a:extLst>
            <a:ext uri="{FF2B5EF4-FFF2-40B4-BE49-F238E27FC236}">
              <a16:creationId xmlns:a16="http://schemas.microsoft.com/office/drawing/2014/main" id="{53B22797-CF2A-4CDE-91DE-C6FF54C955AF}"/>
            </a:ext>
          </a:extLst>
        </xdr:cNvPr>
        <xdr:cNvPicPr>
          <a:picLocks noChangeAspect="1"/>
        </xdr:cNvPicPr>
      </xdr:nvPicPr>
      <xdr:blipFill>
        <a:blip xmlns:r="http://schemas.openxmlformats.org/officeDocument/2006/relationships" r:embed="rId9"/>
        <a:stretch>
          <a:fillRect/>
        </a:stretch>
      </xdr:blipFill>
      <xdr:spPr>
        <a:xfrm>
          <a:off x="370742" y="20785216"/>
          <a:ext cx="4125058" cy="4346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2705100</xdr:colOff>
      <xdr:row>41</xdr:row>
      <xdr:rowOff>19050</xdr:rowOff>
    </xdr:from>
    <xdr:to>
      <xdr:col>1</xdr:col>
      <xdr:colOff>2849100</xdr:colOff>
      <xdr:row>41</xdr:row>
      <xdr:rowOff>163050</xdr:rowOff>
    </xdr:to>
    <xdr:pic>
      <xdr:nvPicPr>
        <xdr:cNvPr id="2" name="Grafik 1" descr="Symbol Information Computer Icons, Informationen, Bereich, Kreis, Computer- Icons png | PNGWing">
          <a:extLst>
            <a:ext uri="{FF2B5EF4-FFF2-40B4-BE49-F238E27FC236}">
              <a16:creationId xmlns:a16="http://schemas.microsoft.com/office/drawing/2014/main" id="{EA492A48-3D4E-4898-ABE0-EDBDCD6ACA4A}"/>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4650" y="13630275"/>
          <a:ext cx="144000" cy="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38101</xdr:colOff>
      <xdr:row>49</xdr:row>
      <xdr:rowOff>38101</xdr:rowOff>
    </xdr:from>
    <xdr:to>
      <xdr:col>1</xdr:col>
      <xdr:colOff>6553201</xdr:colOff>
      <xdr:row>60</xdr:row>
      <xdr:rowOff>57767</xdr:rowOff>
    </xdr:to>
    <xdr:pic>
      <xdr:nvPicPr>
        <xdr:cNvPr id="3" name="Grafik 2">
          <a:extLst>
            <a:ext uri="{FF2B5EF4-FFF2-40B4-BE49-F238E27FC236}">
              <a16:creationId xmlns:a16="http://schemas.microsoft.com/office/drawing/2014/main" id="{0375AB6F-DE26-4C08-BFEF-86A3BA0A01A4}"/>
            </a:ext>
          </a:extLst>
        </xdr:cNvPr>
        <xdr:cNvPicPr>
          <a:picLocks noChangeAspect="1"/>
        </xdr:cNvPicPr>
      </xdr:nvPicPr>
      <xdr:blipFill>
        <a:blip xmlns:r="http://schemas.openxmlformats.org/officeDocument/2006/relationships" r:embed="rId2"/>
        <a:stretch>
          <a:fillRect/>
        </a:stretch>
      </xdr:blipFill>
      <xdr:spPr>
        <a:xfrm>
          <a:off x="247651" y="14573251"/>
          <a:ext cx="6515100" cy="1800842"/>
        </a:xfrm>
        <a:prstGeom prst="rect">
          <a:avLst/>
        </a:prstGeom>
      </xdr:spPr>
    </xdr:pic>
    <xdr:clientData/>
  </xdr:twoCellAnchor>
  <xdr:twoCellAnchor editAs="oneCell">
    <xdr:from>
      <xdr:col>1</xdr:col>
      <xdr:colOff>85724</xdr:colOff>
      <xdr:row>64</xdr:row>
      <xdr:rowOff>85726</xdr:rowOff>
    </xdr:from>
    <xdr:to>
      <xdr:col>1</xdr:col>
      <xdr:colOff>5227350</xdr:colOff>
      <xdr:row>80</xdr:row>
      <xdr:rowOff>152400</xdr:rowOff>
    </xdr:to>
    <xdr:pic>
      <xdr:nvPicPr>
        <xdr:cNvPr id="4" name="Grafik 3">
          <a:extLst>
            <a:ext uri="{FF2B5EF4-FFF2-40B4-BE49-F238E27FC236}">
              <a16:creationId xmlns:a16="http://schemas.microsoft.com/office/drawing/2014/main" id="{D7A1B4D2-025E-4A0C-B2F0-A4DDC8F30DE4}"/>
            </a:ext>
          </a:extLst>
        </xdr:cNvPr>
        <xdr:cNvPicPr>
          <a:picLocks noChangeAspect="1"/>
        </xdr:cNvPicPr>
      </xdr:nvPicPr>
      <xdr:blipFill rotWithShape="1">
        <a:blip xmlns:r="http://schemas.openxmlformats.org/officeDocument/2006/relationships" r:embed="rId3"/>
        <a:srcRect l="1" t="3833" r="-15" b="42177"/>
        <a:stretch/>
      </xdr:blipFill>
      <xdr:spPr>
        <a:xfrm>
          <a:off x="295274" y="18888076"/>
          <a:ext cx="5141626" cy="2962274"/>
        </a:xfrm>
        <a:prstGeom prst="rect">
          <a:avLst/>
        </a:prstGeom>
      </xdr:spPr>
    </xdr:pic>
    <xdr:clientData/>
  </xdr:twoCellAnchor>
  <xdr:twoCellAnchor editAs="oneCell">
    <xdr:from>
      <xdr:col>1</xdr:col>
      <xdr:colOff>22713</xdr:colOff>
      <xdr:row>84</xdr:row>
      <xdr:rowOff>206854</xdr:rowOff>
    </xdr:from>
    <xdr:to>
      <xdr:col>1</xdr:col>
      <xdr:colOff>202713</xdr:colOff>
      <xdr:row>86</xdr:row>
      <xdr:rowOff>960</xdr:rowOff>
    </xdr:to>
    <xdr:pic>
      <xdr:nvPicPr>
        <xdr:cNvPr id="6" name="Grafik 5">
          <a:extLst>
            <a:ext uri="{FF2B5EF4-FFF2-40B4-BE49-F238E27FC236}">
              <a16:creationId xmlns:a16="http://schemas.microsoft.com/office/drawing/2014/main" id="{D51BF603-B648-4008-90CC-BA74CA252420}"/>
            </a:ext>
          </a:extLst>
        </xdr:cNvPr>
        <xdr:cNvPicPr>
          <a:picLocks noChangeAspect="1"/>
        </xdr:cNvPicPr>
      </xdr:nvPicPr>
      <xdr:blipFill>
        <a:blip xmlns:r="http://schemas.openxmlformats.org/officeDocument/2006/relationships" r:embed="rId4"/>
        <a:stretch>
          <a:fillRect/>
        </a:stretch>
      </xdr:blipFill>
      <xdr:spPr>
        <a:xfrm>
          <a:off x="232263" y="22542979"/>
          <a:ext cx="180000" cy="213206"/>
        </a:xfrm>
        <a:prstGeom prst="rect">
          <a:avLst/>
        </a:prstGeom>
      </xdr:spPr>
    </xdr:pic>
    <xdr:clientData/>
  </xdr:twoCellAnchor>
  <xdr:twoCellAnchor editAs="oneCell">
    <xdr:from>
      <xdr:col>1</xdr:col>
      <xdr:colOff>16119</xdr:colOff>
      <xdr:row>86</xdr:row>
      <xdr:rowOff>9526</xdr:rowOff>
    </xdr:from>
    <xdr:to>
      <xdr:col>1</xdr:col>
      <xdr:colOff>196119</xdr:colOff>
      <xdr:row>87</xdr:row>
      <xdr:rowOff>15264</xdr:rowOff>
    </xdr:to>
    <xdr:pic>
      <xdr:nvPicPr>
        <xdr:cNvPr id="7" name="Grafik 6">
          <a:extLst>
            <a:ext uri="{FF2B5EF4-FFF2-40B4-BE49-F238E27FC236}">
              <a16:creationId xmlns:a16="http://schemas.microsoft.com/office/drawing/2014/main" id="{1BCCF470-D23C-44E2-BEFC-C8D0F6E895AD}"/>
            </a:ext>
          </a:extLst>
        </xdr:cNvPr>
        <xdr:cNvPicPr>
          <a:picLocks noChangeAspect="1"/>
        </xdr:cNvPicPr>
      </xdr:nvPicPr>
      <xdr:blipFill>
        <a:blip xmlns:r="http://schemas.openxmlformats.org/officeDocument/2006/relationships" r:embed="rId5"/>
        <a:stretch>
          <a:fillRect/>
        </a:stretch>
      </xdr:blipFill>
      <xdr:spPr>
        <a:xfrm>
          <a:off x="225669" y="22764751"/>
          <a:ext cx="180000" cy="215288"/>
        </a:xfrm>
        <a:prstGeom prst="rect">
          <a:avLst/>
        </a:prstGeom>
      </xdr:spPr>
    </xdr:pic>
    <xdr:clientData/>
  </xdr:twoCellAnchor>
  <xdr:twoCellAnchor editAs="oneCell">
    <xdr:from>
      <xdr:col>1</xdr:col>
      <xdr:colOff>19781</xdr:colOff>
      <xdr:row>87</xdr:row>
      <xdr:rowOff>10091</xdr:rowOff>
    </xdr:from>
    <xdr:to>
      <xdr:col>1</xdr:col>
      <xdr:colOff>199781</xdr:colOff>
      <xdr:row>88</xdr:row>
      <xdr:rowOff>25361</xdr:rowOff>
    </xdr:to>
    <xdr:pic>
      <xdr:nvPicPr>
        <xdr:cNvPr id="8" name="Grafik 7">
          <a:extLst>
            <a:ext uri="{FF2B5EF4-FFF2-40B4-BE49-F238E27FC236}">
              <a16:creationId xmlns:a16="http://schemas.microsoft.com/office/drawing/2014/main" id="{FA3602BF-14FE-48CF-A7FC-E8AD9D3653A1}"/>
            </a:ext>
          </a:extLst>
        </xdr:cNvPr>
        <xdr:cNvPicPr>
          <a:picLocks noChangeAspect="1"/>
        </xdr:cNvPicPr>
      </xdr:nvPicPr>
      <xdr:blipFill>
        <a:blip xmlns:r="http://schemas.openxmlformats.org/officeDocument/2006/relationships" r:embed="rId6"/>
        <a:stretch>
          <a:fillRect/>
        </a:stretch>
      </xdr:blipFill>
      <xdr:spPr>
        <a:xfrm>
          <a:off x="229331" y="22174766"/>
          <a:ext cx="180000" cy="231808"/>
        </a:xfrm>
        <a:prstGeom prst="rect">
          <a:avLst/>
        </a:prstGeom>
      </xdr:spPr>
    </xdr:pic>
    <xdr:clientData/>
  </xdr:twoCellAnchor>
  <xdr:twoCellAnchor editAs="oneCell">
    <xdr:from>
      <xdr:col>1</xdr:col>
      <xdr:colOff>18361</xdr:colOff>
      <xdr:row>84</xdr:row>
      <xdr:rowOff>18316</xdr:rowOff>
    </xdr:from>
    <xdr:to>
      <xdr:col>1</xdr:col>
      <xdr:colOff>198361</xdr:colOff>
      <xdr:row>85</xdr:row>
      <xdr:rowOff>8105</xdr:rowOff>
    </xdr:to>
    <xdr:pic>
      <xdr:nvPicPr>
        <xdr:cNvPr id="9" name="Grafik 8">
          <a:extLst>
            <a:ext uri="{FF2B5EF4-FFF2-40B4-BE49-F238E27FC236}">
              <a16:creationId xmlns:a16="http://schemas.microsoft.com/office/drawing/2014/main" id="{3B755672-C23F-40AA-A907-70FE89413FDB}"/>
            </a:ext>
          </a:extLst>
        </xdr:cNvPr>
        <xdr:cNvPicPr>
          <a:picLocks noChangeAspect="1"/>
        </xdr:cNvPicPr>
      </xdr:nvPicPr>
      <xdr:blipFill>
        <a:blip xmlns:r="http://schemas.openxmlformats.org/officeDocument/2006/relationships" r:embed="rId7"/>
        <a:stretch>
          <a:fillRect/>
        </a:stretch>
      </xdr:blipFill>
      <xdr:spPr>
        <a:xfrm>
          <a:off x="227911" y="22354441"/>
          <a:ext cx="180000" cy="199339"/>
        </a:xfrm>
        <a:prstGeom prst="rect">
          <a:avLst/>
        </a:prstGeom>
      </xdr:spPr>
    </xdr:pic>
    <xdr:clientData/>
  </xdr:twoCellAnchor>
  <xdr:twoCellAnchor editAs="oneCell">
    <xdr:from>
      <xdr:col>1</xdr:col>
      <xdr:colOff>161192</xdr:colOff>
      <xdr:row>95</xdr:row>
      <xdr:rowOff>68341</xdr:rowOff>
    </xdr:from>
    <xdr:to>
      <xdr:col>1</xdr:col>
      <xdr:colOff>4301989</xdr:colOff>
      <xdr:row>119</xdr:row>
      <xdr:rowOff>76200</xdr:rowOff>
    </xdr:to>
    <xdr:pic>
      <xdr:nvPicPr>
        <xdr:cNvPr id="11" name="Grafik 10">
          <a:extLst>
            <a:ext uri="{FF2B5EF4-FFF2-40B4-BE49-F238E27FC236}">
              <a16:creationId xmlns:a16="http://schemas.microsoft.com/office/drawing/2014/main" id="{47F61AE4-A8E6-4757-A140-6DDDD84D26A9}"/>
            </a:ext>
          </a:extLst>
        </xdr:cNvPr>
        <xdr:cNvPicPr>
          <a:picLocks noChangeAspect="1"/>
        </xdr:cNvPicPr>
      </xdr:nvPicPr>
      <xdr:blipFill>
        <a:blip xmlns:r="http://schemas.openxmlformats.org/officeDocument/2006/relationships" r:embed="rId8"/>
        <a:stretch>
          <a:fillRect/>
        </a:stretch>
      </xdr:blipFill>
      <xdr:spPr>
        <a:xfrm>
          <a:off x="370742" y="25547716"/>
          <a:ext cx="4140797" cy="4351259"/>
        </a:xfrm>
        <a:prstGeom prst="rect">
          <a:avLst/>
        </a:prstGeom>
      </xdr:spPr>
    </xdr:pic>
    <xdr:clientData/>
  </xdr:twoCellAnchor>
  <xdr:twoCellAnchor editAs="oneCell">
    <xdr:from>
      <xdr:col>1</xdr:col>
      <xdr:colOff>704850</xdr:colOff>
      <xdr:row>19</xdr:row>
      <xdr:rowOff>38100</xdr:rowOff>
    </xdr:from>
    <xdr:to>
      <xdr:col>1</xdr:col>
      <xdr:colOff>848850</xdr:colOff>
      <xdr:row>19</xdr:row>
      <xdr:rowOff>181455</xdr:rowOff>
    </xdr:to>
    <xdr:pic>
      <xdr:nvPicPr>
        <xdr:cNvPr id="12" name="Grafik 11" descr="Symbol Information Computer Icons, Informationen, Bereich, Kreis, Computer- Icons png | PNGWing">
          <a:extLst>
            <a:ext uri="{FF2B5EF4-FFF2-40B4-BE49-F238E27FC236}">
              <a16:creationId xmlns:a16="http://schemas.microsoft.com/office/drawing/2014/main" id="{666CCB69-B407-4BFB-8D1A-228B6EE10F63}"/>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0" y="7296150"/>
          <a:ext cx="144000" cy="14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114301</xdr:colOff>
      <xdr:row>88</xdr:row>
      <xdr:rowOff>164235</xdr:rowOff>
    </xdr:from>
    <xdr:to>
      <xdr:col>1</xdr:col>
      <xdr:colOff>4286250</xdr:colOff>
      <xdr:row>88</xdr:row>
      <xdr:rowOff>711520</xdr:rowOff>
    </xdr:to>
    <xdr:pic>
      <xdr:nvPicPr>
        <xdr:cNvPr id="13" name="Grafik 12">
          <a:extLst>
            <a:ext uri="{FF2B5EF4-FFF2-40B4-BE49-F238E27FC236}">
              <a16:creationId xmlns:a16="http://schemas.microsoft.com/office/drawing/2014/main" id="{B8CCBEDB-8EDB-472E-A0D2-99050BB9F23C}"/>
            </a:ext>
          </a:extLst>
        </xdr:cNvPr>
        <xdr:cNvPicPr>
          <a:picLocks noChangeAspect="1"/>
        </xdr:cNvPicPr>
      </xdr:nvPicPr>
      <xdr:blipFill>
        <a:blip xmlns:r="http://schemas.openxmlformats.org/officeDocument/2006/relationships" r:embed="rId9"/>
        <a:stretch>
          <a:fillRect/>
        </a:stretch>
      </xdr:blipFill>
      <xdr:spPr>
        <a:xfrm>
          <a:off x="323851" y="23338560"/>
          <a:ext cx="4171949" cy="547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202826</xdr:colOff>
      <xdr:row>17</xdr:row>
      <xdr:rowOff>28574</xdr:rowOff>
    </xdr:from>
    <xdr:to>
      <xdr:col>5</xdr:col>
      <xdr:colOff>326651</xdr:colOff>
      <xdr:row>17</xdr:row>
      <xdr:rowOff>152399</xdr:rowOff>
    </xdr:to>
    <xdr:pic>
      <xdr:nvPicPr>
        <xdr:cNvPr id="2" name="Grafik 1" descr="Symbol Information Computer Icons, Informationen, Bereich, Kreis, Computer- Icons png | PNGWing">
          <a:hlinkClick xmlns:r="http://schemas.openxmlformats.org/officeDocument/2006/relationships" r:id="rId1" tooltip="Mehr Infos"/>
          <a:extLst>
            <a:ext uri="{FF2B5EF4-FFF2-40B4-BE49-F238E27FC236}">
              <a16:creationId xmlns:a16="http://schemas.microsoft.com/office/drawing/2014/main" id="{4B659679-4258-07AB-1C6C-0A6FF1113D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12626" y="2809874"/>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369233</xdr:colOff>
      <xdr:row>6</xdr:row>
      <xdr:rowOff>28574</xdr:rowOff>
    </xdr:from>
    <xdr:to>
      <xdr:col>9</xdr:col>
      <xdr:colOff>491633</xdr:colOff>
      <xdr:row>6</xdr:row>
      <xdr:rowOff>150974</xdr:rowOff>
    </xdr:to>
    <xdr:pic>
      <xdr:nvPicPr>
        <xdr:cNvPr id="3" name="Grafik 2" descr="Symbol Information Computer Icons, Informationen, Bereich, Kreis, Computer- Icons png | PNGWing">
          <a:hlinkClick xmlns:r="http://schemas.openxmlformats.org/officeDocument/2006/relationships" r:id="rId3" tooltip="Der Ferienanspruch pro Kalender wird aufgrund des Jahrgangs automatisch berechnet."/>
          <a:extLst>
            <a:ext uri="{FF2B5EF4-FFF2-40B4-BE49-F238E27FC236}">
              <a16:creationId xmlns:a16="http://schemas.microsoft.com/office/drawing/2014/main" id="{11872976-5A14-646B-6FC4-2545F9ABC4F1}"/>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07494" y="1055617"/>
          <a:ext cx="122400" cy="1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121583</xdr:colOff>
      <xdr:row>14</xdr:row>
      <xdr:rowOff>28574</xdr:rowOff>
    </xdr:from>
    <xdr:to>
      <xdr:col>6</xdr:col>
      <xdr:colOff>245407</xdr:colOff>
      <xdr:row>14</xdr:row>
      <xdr:rowOff>152399</xdr:rowOff>
    </xdr:to>
    <xdr:pic>
      <xdr:nvPicPr>
        <xdr:cNvPr id="4" name="Grafik 3" descr="Symbol Information Computer Icons, Informationen, Bereich, Kreis, Computer- Icons png | PNGWing">
          <a:hlinkClick xmlns:r="http://schemas.openxmlformats.org/officeDocument/2006/relationships" r:id="rId4" tooltip="Gemäss Art. 67 PVP. Die Ferienkorrektur wird bei längerer Abwesenheit (mehr als zwei Monate) durch refbejuso eröffnet."/>
          <a:extLst>
            <a:ext uri="{FF2B5EF4-FFF2-40B4-BE49-F238E27FC236}">
              <a16:creationId xmlns:a16="http://schemas.microsoft.com/office/drawing/2014/main" id="{D77C5D4D-3A86-48C2-AE68-82934EF53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83833" y="2324099"/>
          <a:ext cx="123824"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378758</xdr:colOff>
      <xdr:row>9</xdr:row>
      <xdr:rowOff>28574</xdr:rowOff>
    </xdr:from>
    <xdr:to>
      <xdr:col>2</xdr:col>
      <xdr:colOff>502582</xdr:colOff>
      <xdr:row>9</xdr:row>
      <xdr:rowOff>152399</xdr:rowOff>
    </xdr:to>
    <xdr:pic>
      <xdr:nvPicPr>
        <xdr:cNvPr id="8" name="Grafik 7" descr="Symbol Information Computer Icons, Informationen, Bereich, Kreis, Computer- Icons png | PNGWing">
          <a:hlinkClick xmlns:r="http://schemas.openxmlformats.org/officeDocument/2006/relationships" r:id="rId5" tooltip="Gemäss Angaben von refbejuso. Eine allfällige Treueprämie muss einzel ausgewiesen werden, da deren Bezug in den Abwesenheiten separat ausgewiesen werden muss."/>
          <a:extLst>
            <a:ext uri="{FF2B5EF4-FFF2-40B4-BE49-F238E27FC236}">
              <a16:creationId xmlns:a16="http://schemas.microsoft.com/office/drawing/2014/main" id="{9451614B-E12F-440A-A514-2B79F67E13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208" y="1523999"/>
          <a:ext cx="123824"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19</xdr:row>
      <xdr:rowOff>152400</xdr:rowOff>
    </xdr:from>
    <xdr:to>
      <xdr:col>7</xdr:col>
      <xdr:colOff>438149</xdr:colOff>
      <xdr:row>47</xdr:row>
      <xdr:rowOff>114300</xdr:rowOff>
    </xdr:to>
    <xdr:graphicFrame macro="">
      <xdr:nvGraphicFramePr>
        <xdr:cNvPr id="2" name="Diagramm 1">
          <a:extLst>
            <a:ext uri="{FF2B5EF4-FFF2-40B4-BE49-F238E27FC236}">
              <a16:creationId xmlns:a16="http://schemas.microsoft.com/office/drawing/2014/main" id="{33E68814-71DF-F62E-CD11-4182DB14F1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505239</xdr:colOff>
      <xdr:row>22</xdr:row>
      <xdr:rowOff>124239</xdr:rowOff>
    </xdr:from>
    <xdr:to>
      <xdr:col>5</xdr:col>
      <xdr:colOff>629064</xdr:colOff>
      <xdr:row>23</xdr:row>
      <xdr:rowOff>82412</xdr:rowOff>
    </xdr:to>
    <xdr:pic>
      <xdr:nvPicPr>
        <xdr:cNvPr id="2" name="Grafik 1" descr="Symbol Information Computer Icons, Informationen, Bereich, Kreis, Computer- Icons png | PNGWing">
          <a:hlinkClick xmlns:r="http://schemas.openxmlformats.org/officeDocument/2006/relationships" r:id="rId1" tooltip="Mehr Infos"/>
          <a:extLst>
            <a:ext uri="{FF2B5EF4-FFF2-40B4-BE49-F238E27FC236}">
              <a16:creationId xmlns:a16="http://schemas.microsoft.com/office/drawing/2014/main" id="{A795007C-8C9F-42CC-8866-BEA01007C6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0" y="211206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513521</xdr:colOff>
      <xdr:row>27</xdr:row>
      <xdr:rowOff>8282</xdr:rowOff>
    </xdr:from>
    <xdr:to>
      <xdr:col>5</xdr:col>
      <xdr:colOff>637346</xdr:colOff>
      <xdr:row>27</xdr:row>
      <xdr:rowOff>132107</xdr:rowOff>
    </xdr:to>
    <xdr:pic>
      <xdr:nvPicPr>
        <xdr:cNvPr id="3" name="Grafik 2" descr="Symbol Information Computer Icons, Informationen, Bereich, Kreis, Computer- Icons png | PNGWing">
          <a:hlinkClick xmlns:r="http://schemas.openxmlformats.org/officeDocument/2006/relationships" r:id="rId3" tooltip="Mehr Infos"/>
          <a:extLst>
            <a:ext uri="{FF2B5EF4-FFF2-40B4-BE49-F238E27FC236}">
              <a16:creationId xmlns:a16="http://schemas.microsoft.com/office/drawing/2014/main" id="{7FEC4B3D-435D-4084-8AE7-8118EBD7D3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65782" y="2675282"/>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505239</xdr:colOff>
      <xdr:row>36</xdr:row>
      <xdr:rowOff>149086</xdr:rowOff>
    </xdr:from>
    <xdr:to>
      <xdr:col>5</xdr:col>
      <xdr:colOff>629064</xdr:colOff>
      <xdr:row>37</xdr:row>
      <xdr:rowOff>107259</xdr:rowOff>
    </xdr:to>
    <xdr:pic>
      <xdr:nvPicPr>
        <xdr:cNvPr id="4" name="Grafik 3" descr="Symbol Information Computer Icons, Informationen, Bereich, Kreis, Computer- Icons png | PNGWing">
          <a:hlinkClick xmlns:r="http://schemas.openxmlformats.org/officeDocument/2006/relationships" r:id="rId4" tooltip="Mehr Infos"/>
          <a:extLst>
            <a:ext uri="{FF2B5EF4-FFF2-40B4-BE49-F238E27FC236}">
              <a16:creationId xmlns:a16="http://schemas.microsoft.com/office/drawing/2014/main" id="{AE564815-88CC-4612-A0F5-86886171C1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0" y="4157869"/>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xdr:colOff>
      <xdr:row>0</xdr:row>
      <xdr:rowOff>0</xdr:rowOff>
    </xdr:from>
    <xdr:ext cx="1609724" cy="1141631"/>
    <xdr:pic>
      <xdr:nvPicPr>
        <xdr:cNvPr id="2" name="Bild 3" descr="logo_refbejuso_defr_schwarz_300dpi.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777" b="11711"/>
        <a:stretch>
          <a:fillRect/>
        </a:stretch>
      </xdr:blipFill>
      <xdr:spPr bwMode="auto">
        <a:xfrm>
          <a:off x="1" y="0"/>
          <a:ext cx="1609724" cy="1141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xdr:colOff>
      <xdr:row>0</xdr:row>
      <xdr:rowOff>0</xdr:rowOff>
    </xdr:from>
    <xdr:ext cx="1609724" cy="1141631"/>
    <xdr:pic>
      <xdr:nvPicPr>
        <xdr:cNvPr id="2" name="Bild 3" descr="logo_refbejuso_defr_schwarz_300dpi.jpg">
          <a:extLst>
            <a:ext uri="{FF2B5EF4-FFF2-40B4-BE49-F238E27FC236}">
              <a16:creationId xmlns:a16="http://schemas.microsoft.com/office/drawing/2014/main" id="{D15025A8-39D3-4E49-B5FB-52CB7B4B4E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777" b="11711"/>
        <a:stretch>
          <a:fillRect/>
        </a:stretch>
      </xdr:blipFill>
      <xdr:spPr bwMode="auto">
        <a:xfrm>
          <a:off x="1" y="0"/>
          <a:ext cx="1609724" cy="1141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BD304-88E9-40B7-B5F0-E76854A3245C}">
  <sheetPr>
    <tabColor theme="1"/>
  </sheetPr>
  <dimension ref="B1:B121"/>
  <sheetViews>
    <sheetView showGridLines="0" showRowColHeaders="0" showRuler="0" topLeftCell="A24" zoomScaleNormal="100" zoomScaleSheetLayoutView="85" workbookViewId="0">
      <selection activeCell="B2" sqref="B2"/>
    </sheetView>
  </sheetViews>
  <sheetFormatPr baseColWidth="10" defaultColWidth="11.42578125" defaultRowHeight="12.75" x14ac:dyDescent="0.2"/>
  <cols>
    <col min="1" max="1" width="3.140625" customWidth="1"/>
    <col min="2" max="2" width="166.85546875" customWidth="1"/>
  </cols>
  <sheetData>
    <row r="1" spans="2:2" ht="14.25" x14ac:dyDescent="0.2">
      <c r="B1" s="450"/>
    </row>
    <row r="2" spans="2:2" ht="15.75" x14ac:dyDescent="0.25">
      <c r="B2" s="479" t="s">
        <v>214</v>
      </c>
    </row>
    <row r="3" spans="2:2" ht="15.75" thickBot="1" x14ac:dyDescent="0.3">
      <c r="B3" s="451"/>
    </row>
    <row r="4" spans="2:2" ht="15" x14ac:dyDescent="0.2">
      <c r="B4" s="463" t="s">
        <v>263</v>
      </c>
    </row>
    <row r="5" spans="2:2" ht="5.25" customHeight="1" x14ac:dyDescent="0.2">
      <c r="B5" s="465"/>
    </row>
    <row r="6" spans="2:2" ht="15" x14ac:dyDescent="0.2">
      <c r="B6" s="464" t="s">
        <v>222</v>
      </c>
    </row>
    <row r="7" spans="2:2" ht="42.75" x14ac:dyDescent="0.2">
      <c r="B7" s="465" t="s">
        <v>285</v>
      </c>
    </row>
    <row r="8" spans="2:2" ht="45" x14ac:dyDescent="0.2">
      <c r="B8" s="464" t="s">
        <v>261</v>
      </c>
    </row>
    <row r="9" spans="2:2" ht="14.25" x14ac:dyDescent="0.2">
      <c r="B9" s="466"/>
    </row>
    <row r="10" spans="2:2" ht="15" x14ac:dyDescent="0.2">
      <c r="B10" s="467" t="s">
        <v>221</v>
      </c>
    </row>
    <row r="11" spans="2:2" ht="57" x14ac:dyDescent="0.2">
      <c r="B11" s="468" t="s">
        <v>280</v>
      </c>
    </row>
    <row r="12" spans="2:2" ht="87" x14ac:dyDescent="0.2">
      <c r="B12" s="481" t="s">
        <v>277</v>
      </c>
    </row>
    <row r="13" spans="2:2" ht="58.5" x14ac:dyDescent="0.2">
      <c r="B13" s="481" t="s">
        <v>278</v>
      </c>
    </row>
    <row r="14" spans="2:2" ht="45" thickBot="1" x14ac:dyDescent="0.25">
      <c r="B14" s="469" t="s">
        <v>279</v>
      </c>
    </row>
    <row r="15" spans="2:2" ht="14.25" x14ac:dyDescent="0.2">
      <c r="B15" s="472"/>
    </row>
    <row r="16" spans="2:2" ht="15" thickBot="1" x14ac:dyDescent="0.25">
      <c r="B16" s="473"/>
    </row>
    <row r="17" spans="2:2" ht="15" x14ac:dyDescent="0.2">
      <c r="B17" s="474" t="s">
        <v>223</v>
      </c>
    </row>
    <row r="18" spans="2:2" ht="15" x14ac:dyDescent="0.2">
      <c r="B18" s="475" t="s">
        <v>236</v>
      </c>
    </row>
    <row r="19" spans="2:2" ht="15" x14ac:dyDescent="0.2">
      <c r="B19" s="464" t="s">
        <v>275</v>
      </c>
    </row>
    <row r="20" spans="2:2" ht="15" x14ac:dyDescent="0.2">
      <c r="B20" s="475" t="s">
        <v>253</v>
      </c>
    </row>
    <row r="21" spans="2:2" ht="14.25" x14ac:dyDescent="0.2">
      <c r="B21" s="476"/>
    </row>
    <row r="22" spans="2:2" ht="15" x14ac:dyDescent="0.2">
      <c r="B22" s="464" t="s">
        <v>255</v>
      </c>
    </row>
    <row r="23" spans="2:2" ht="42.75" x14ac:dyDescent="0.2">
      <c r="B23" s="465" t="s">
        <v>264</v>
      </c>
    </row>
    <row r="24" spans="2:2" ht="14.25" x14ac:dyDescent="0.2">
      <c r="B24" s="477"/>
    </row>
    <row r="25" spans="2:2" ht="15" x14ac:dyDescent="0.2">
      <c r="B25" s="475" t="s">
        <v>237</v>
      </c>
    </row>
    <row r="26" spans="2:2" ht="28.5" x14ac:dyDescent="0.2">
      <c r="B26" s="465" t="s">
        <v>238</v>
      </c>
    </row>
    <row r="27" spans="2:2" ht="14.25" x14ac:dyDescent="0.2">
      <c r="B27" s="466"/>
    </row>
    <row r="28" spans="2:2" ht="15" x14ac:dyDescent="0.2">
      <c r="B28" s="475" t="s">
        <v>240</v>
      </c>
    </row>
    <row r="29" spans="2:2" ht="28.5" x14ac:dyDescent="0.2">
      <c r="B29" s="465" t="s">
        <v>256</v>
      </c>
    </row>
    <row r="30" spans="2:2" ht="57" x14ac:dyDescent="0.2">
      <c r="B30" s="466" t="s">
        <v>300</v>
      </c>
    </row>
    <row r="31" spans="2:2" ht="10.5" customHeight="1" x14ac:dyDescent="0.2">
      <c r="B31" s="466"/>
    </row>
    <row r="32" spans="2:2" ht="15" x14ac:dyDescent="0.2">
      <c r="B32" s="466" t="s">
        <v>271</v>
      </c>
    </row>
    <row r="33" spans="2:2" ht="15" x14ac:dyDescent="0.2">
      <c r="B33" s="466" t="s">
        <v>272</v>
      </c>
    </row>
    <row r="34" spans="2:2" ht="15" x14ac:dyDescent="0.2">
      <c r="B34" s="466" t="s">
        <v>273</v>
      </c>
    </row>
    <row r="35" spans="2:2" ht="14.25" x14ac:dyDescent="0.2">
      <c r="B35" s="466"/>
    </row>
    <row r="36" spans="2:2" ht="15" x14ac:dyDescent="0.2">
      <c r="B36" s="464" t="s">
        <v>258</v>
      </c>
    </row>
    <row r="37" spans="2:2" ht="29.25" thickBot="1" x14ac:dyDescent="0.25">
      <c r="B37" s="478" t="s">
        <v>241</v>
      </c>
    </row>
    <row r="38" spans="2:2" ht="14.25" x14ac:dyDescent="0.2">
      <c r="B38" s="450"/>
    </row>
    <row r="39" spans="2:2" ht="14.25" x14ac:dyDescent="0.2">
      <c r="B39" s="453" t="s">
        <v>276</v>
      </c>
    </row>
    <row r="40" spans="2:2" ht="15" customHeight="1" x14ac:dyDescent="0.2">
      <c r="B40" s="480" t="str">
        <f>Version</f>
        <v>v25/24.12.28zw</v>
      </c>
    </row>
    <row r="41" spans="2:2" ht="69" customHeight="1" x14ac:dyDescent="0.2">
      <c r="B41" s="452"/>
    </row>
    <row r="42" spans="2:2" ht="15" x14ac:dyDescent="0.25">
      <c r="B42" s="454" t="s">
        <v>230</v>
      </c>
    </row>
    <row r="43" spans="2:2" ht="14.25" x14ac:dyDescent="0.2">
      <c r="B43" s="452"/>
    </row>
    <row r="44" spans="2:2" ht="15" x14ac:dyDescent="0.2">
      <c r="B44" s="455" t="s">
        <v>225</v>
      </c>
    </row>
    <row r="45" spans="2:2" ht="14.25" x14ac:dyDescent="0.2">
      <c r="B45" s="456" t="s">
        <v>228</v>
      </c>
    </row>
    <row r="46" spans="2:2" ht="15" x14ac:dyDescent="0.25">
      <c r="B46" s="452" t="s">
        <v>252</v>
      </c>
    </row>
    <row r="47" spans="2:2" ht="14.25" x14ac:dyDescent="0.2">
      <c r="B47" s="452"/>
    </row>
    <row r="48" spans="2:2" ht="14.25" x14ac:dyDescent="0.2">
      <c r="B48" s="456" t="s">
        <v>260</v>
      </c>
    </row>
    <row r="49" spans="2:2" ht="14.25" x14ac:dyDescent="0.2">
      <c r="B49" s="450"/>
    </row>
    <row r="50" spans="2:2" ht="14.25" x14ac:dyDescent="0.2">
      <c r="B50" s="450"/>
    </row>
    <row r="51" spans="2:2" ht="14.25" x14ac:dyDescent="0.2">
      <c r="B51" s="450"/>
    </row>
    <row r="52" spans="2:2" ht="14.25" x14ac:dyDescent="0.2">
      <c r="B52" s="450"/>
    </row>
    <row r="53" spans="2:2" ht="14.25" x14ac:dyDescent="0.2">
      <c r="B53" s="450"/>
    </row>
    <row r="54" spans="2:2" ht="14.25" x14ac:dyDescent="0.2">
      <c r="B54" s="452"/>
    </row>
    <row r="55" spans="2:2" ht="14.25" x14ac:dyDescent="0.2">
      <c r="B55" s="450"/>
    </row>
    <row r="56" spans="2:2" ht="14.25" x14ac:dyDescent="0.2">
      <c r="B56" s="450"/>
    </row>
    <row r="57" spans="2:2" ht="14.25" x14ac:dyDescent="0.2">
      <c r="B57" s="450"/>
    </row>
    <row r="58" spans="2:2" ht="14.25" x14ac:dyDescent="0.2">
      <c r="B58" s="450"/>
    </row>
    <row r="59" spans="2:2" ht="14.25" x14ac:dyDescent="0.2">
      <c r="B59" s="450"/>
    </row>
    <row r="60" spans="2:2" ht="14.25" x14ac:dyDescent="0.2">
      <c r="B60" s="450"/>
    </row>
    <row r="61" spans="2:2" ht="14.25" x14ac:dyDescent="0.2">
      <c r="B61" s="450"/>
    </row>
    <row r="62" spans="2:2" ht="15" x14ac:dyDescent="0.25">
      <c r="B62" s="451" t="s">
        <v>247</v>
      </c>
    </row>
    <row r="63" spans="2:2" ht="14.25" x14ac:dyDescent="0.2">
      <c r="B63" s="457" t="s">
        <v>249</v>
      </c>
    </row>
    <row r="64" spans="2:2" ht="28.5" x14ac:dyDescent="0.2">
      <c r="B64" s="457" t="s">
        <v>250</v>
      </c>
    </row>
    <row r="65" spans="2:2" ht="14.25" x14ac:dyDescent="0.2">
      <c r="B65" s="450"/>
    </row>
    <row r="66" spans="2:2" ht="14.25" x14ac:dyDescent="0.2">
      <c r="B66" s="450"/>
    </row>
    <row r="67" spans="2:2" ht="14.25" x14ac:dyDescent="0.2">
      <c r="B67" s="450"/>
    </row>
    <row r="68" spans="2:2" ht="14.25" x14ac:dyDescent="0.2">
      <c r="B68" s="450"/>
    </row>
    <row r="69" spans="2:2" ht="14.25" x14ac:dyDescent="0.2">
      <c r="B69" s="450"/>
    </row>
    <row r="70" spans="2:2" ht="14.25" x14ac:dyDescent="0.2">
      <c r="B70" s="450"/>
    </row>
    <row r="71" spans="2:2" ht="14.25" x14ac:dyDescent="0.2">
      <c r="B71" s="450"/>
    </row>
    <row r="72" spans="2:2" ht="14.25" x14ac:dyDescent="0.2">
      <c r="B72" s="450"/>
    </row>
    <row r="73" spans="2:2" ht="14.25" x14ac:dyDescent="0.2">
      <c r="B73" s="450"/>
    </row>
    <row r="74" spans="2:2" ht="14.25" x14ac:dyDescent="0.2">
      <c r="B74" s="450"/>
    </row>
    <row r="75" spans="2:2" ht="14.25" x14ac:dyDescent="0.2">
      <c r="B75" s="450"/>
    </row>
    <row r="76" spans="2:2" ht="14.25" x14ac:dyDescent="0.2">
      <c r="B76" s="450"/>
    </row>
    <row r="77" spans="2:2" ht="14.25" x14ac:dyDescent="0.2">
      <c r="B77" s="450"/>
    </row>
    <row r="78" spans="2:2" ht="14.25" x14ac:dyDescent="0.2">
      <c r="B78" s="450"/>
    </row>
    <row r="79" spans="2:2" ht="14.25" x14ac:dyDescent="0.2">
      <c r="B79" s="450"/>
    </row>
    <row r="80" spans="2:2" ht="14.25" x14ac:dyDescent="0.2">
      <c r="B80" s="450"/>
    </row>
    <row r="81" spans="2:2" ht="14.25" x14ac:dyDescent="0.2">
      <c r="B81" s="450"/>
    </row>
    <row r="82" spans="2:2" ht="14.25" x14ac:dyDescent="0.2">
      <c r="B82" s="450"/>
    </row>
    <row r="83" spans="2:2" ht="14.25" x14ac:dyDescent="0.2">
      <c r="B83" s="450"/>
    </row>
    <row r="84" spans="2:2" ht="15" x14ac:dyDescent="0.25">
      <c r="B84" s="451" t="s">
        <v>246</v>
      </c>
    </row>
    <row r="85" spans="2:2" ht="17.25" customHeight="1" x14ac:dyDescent="0.2">
      <c r="B85" s="450" t="s">
        <v>243</v>
      </c>
    </row>
    <row r="86" spans="2:2" ht="17.25" customHeight="1" x14ac:dyDescent="0.2">
      <c r="B86" s="450" t="s">
        <v>242</v>
      </c>
    </row>
    <row r="87" spans="2:2" ht="17.25" customHeight="1" x14ac:dyDescent="0.2">
      <c r="B87" s="450" t="s">
        <v>244</v>
      </c>
    </row>
    <row r="88" spans="2:2" ht="17.25" customHeight="1" x14ac:dyDescent="0.2">
      <c r="B88" s="450" t="s">
        <v>245</v>
      </c>
    </row>
    <row r="89" spans="2:2" ht="87.75" customHeight="1" x14ac:dyDescent="0.2">
      <c r="B89" s="450"/>
    </row>
    <row r="90" spans="2:2" ht="14.25" x14ac:dyDescent="0.2">
      <c r="B90" s="450"/>
    </row>
    <row r="91" spans="2:2" ht="15" x14ac:dyDescent="0.25">
      <c r="B91" s="451" t="s">
        <v>257</v>
      </c>
    </row>
    <row r="92" spans="2:2" ht="14.25" x14ac:dyDescent="0.2">
      <c r="B92" s="450" t="s">
        <v>248</v>
      </c>
    </row>
    <row r="93" spans="2:2" ht="14.25" x14ac:dyDescent="0.2">
      <c r="B93" s="450" t="s">
        <v>262</v>
      </c>
    </row>
    <row r="94" spans="2:2" ht="14.25" x14ac:dyDescent="0.2">
      <c r="B94" s="450" t="s">
        <v>251</v>
      </c>
    </row>
    <row r="95" spans="2:2" ht="14.25" x14ac:dyDescent="0.2">
      <c r="B95" s="450" t="s">
        <v>274</v>
      </c>
    </row>
    <row r="96" spans="2:2" ht="14.25" x14ac:dyDescent="0.2">
      <c r="B96" s="450"/>
    </row>
    <row r="97" spans="2:2" ht="14.25" x14ac:dyDescent="0.2">
      <c r="B97" s="450"/>
    </row>
    <row r="98" spans="2:2" ht="14.25" x14ac:dyDescent="0.2">
      <c r="B98" s="450"/>
    </row>
    <row r="99" spans="2:2" ht="14.25" x14ac:dyDescent="0.2">
      <c r="B99" s="450"/>
    </row>
    <row r="100" spans="2:2" ht="14.25" x14ac:dyDescent="0.2">
      <c r="B100" s="450"/>
    </row>
    <row r="101" spans="2:2" ht="14.25" x14ac:dyDescent="0.2">
      <c r="B101" s="450"/>
    </row>
    <row r="102" spans="2:2" ht="14.25" x14ac:dyDescent="0.2">
      <c r="B102" s="450"/>
    </row>
    <row r="103" spans="2:2" ht="14.25" x14ac:dyDescent="0.2">
      <c r="B103" s="450"/>
    </row>
    <row r="104" spans="2:2" ht="14.25" x14ac:dyDescent="0.2">
      <c r="B104" s="450"/>
    </row>
    <row r="105" spans="2:2" ht="14.25" x14ac:dyDescent="0.2">
      <c r="B105" s="450"/>
    </row>
    <row r="106" spans="2:2" ht="14.25" x14ac:dyDescent="0.2">
      <c r="B106" s="450"/>
    </row>
    <row r="107" spans="2:2" ht="14.25" x14ac:dyDescent="0.2">
      <c r="B107" s="450"/>
    </row>
    <row r="108" spans="2:2" ht="14.25" x14ac:dyDescent="0.2">
      <c r="B108" s="450"/>
    </row>
    <row r="109" spans="2:2" ht="14.25" x14ac:dyDescent="0.2">
      <c r="B109" s="450"/>
    </row>
    <row r="110" spans="2:2" ht="14.25" x14ac:dyDescent="0.2">
      <c r="B110" s="450"/>
    </row>
    <row r="111" spans="2:2" ht="14.25" x14ac:dyDescent="0.2">
      <c r="B111" s="450"/>
    </row>
    <row r="112" spans="2:2" ht="14.25" x14ac:dyDescent="0.2">
      <c r="B112" s="450"/>
    </row>
    <row r="113" spans="2:2" ht="14.25" x14ac:dyDescent="0.2">
      <c r="B113" s="450"/>
    </row>
    <row r="114" spans="2:2" ht="14.25" x14ac:dyDescent="0.2">
      <c r="B114" s="450"/>
    </row>
    <row r="115" spans="2:2" ht="14.25" x14ac:dyDescent="0.2">
      <c r="B115" s="450"/>
    </row>
    <row r="116" spans="2:2" ht="14.25" x14ac:dyDescent="0.2">
      <c r="B116" s="450"/>
    </row>
    <row r="117" spans="2:2" ht="14.25" x14ac:dyDescent="0.2">
      <c r="B117" s="450"/>
    </row>
    <row r="118" spans="2:2" ht="14.25" x14ac:dyDescent="0.2">
      <c r="B118" s="450"/>
    </row>
    <row r="119" spans="2:2" ht="14.25" x14ac:dyDescent="0.2">
      <c r="B119" s="450"/>
    </row>
    <row r="120" spans="2:2" ht="14.25" x14ac:dyDescent="0.2">
      <c r="B120" s="450"/>
    </row>
    <row r="121" spans="2:2" ht="14.25" x14ac:dyDescent="0.2">
      <c r="B121" s="450"/>
    </row>
  </sheetData>
  <sheetProtection algorithmName="SHA-512" hashValue="ISSin0RsDMuqgxyI7/0+P0HriR3DhNEu869CYhvCx4vvlqXByLlJ3my6x7104lLDcR5Vme+Kpts97bZVkyU/ug==" saltValue="wjwX+sS57hIeD6++9WN6eA==" spinCount="100000" sheet="1" objects="1" scenarios="1"/>
  <pageMargins left="0.70866141732283472" right="0.70866141732283472" top="0.78740157480314965" bottom="0.78740157480314965" header="0.31496062992125984" footer="0.31496062992125984"/>
  <pageSetup paperSize="9" scale="53" fitToHeight="0" orientation="portrait" r:id="rId1"/>
  <headerFooter>
    <oddFooter>&amp;LAusdruck vom &amp;D&amp;C&amp;A&amp;R&amp;P/&amp;N</oddFooter>
  </headerFooter>
  <rowBreaks count="1" manualBreakCount="1">
    <brk id="4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4B43-C04F-462B-AF4C-A706BE1272E9}">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I17" sqref="I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8.4</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8.4</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6.72</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6.72</v>
      </c>
    </row>
    <row r="3" spans="2:39" hidden="1" x14ac:dyDescent="0.2">
      <c r="D3" s="166"/>
      <c r="E3" s="166"/>
      <c r="G3" s="167" t="s">
        <v>171</v>
      </c>
      <c r="H3" s="171">
        <f t="shared" ref="H3:AI3" si="2">IF(OR(WEEKDAY(H$12,2)=7,H1&gt;0),0,TaginSt-H14-H4)</f>
        <v>0</v>
      </c>
      <c r="I3" s="171">
        <f t="shared" si="2"/>
        <v>0</v>
      </c>
      <c r="J3" s="171">
        <f t="shared" si="2"/>
        <v>0</v>
      </c>
      <c r="K3" s="171">
        <f t="shared" si="2"/>
        <v>0</v>
      </c>
      <c r="L3" s="171">
        <f t="shared" si="2"/>
        <v>0</v>
      </c>
      <c r="M3" s="171">
        <f t="shared" si="2"/>
        <v>0</v>
      </c>
      <c r="N3" s="171">
        <f t="shared" si="2"/>
        <v>8.4</v>
      </c>
      <c r="O3" s="171">
        <f t="shared" si="2"/>
        <v>0</v>
      </c>
      <c r="P3" s="171">
        <f t="shared" si="2"/>
        <v>0</v>
      </c>
      <c r="Q3" s="171">
        <f t="shared" si="2"/>
        <v>0</v>
      </c>
      <c r="R3" s="171">
        <f t="shared" si="2"/>
        <v>0</v>
      </c>
      <c r="S3" s="171">
        <f t="shared" si="2"/>
        <v>0</v>
      </c>
      <c r="T3" s="171">
        <f t="shared" si="2"/>
        <v>0</v>
      </c>
      <c r="U3" s="171">
        <f t="shared" si="2"/>
        <v>8.4</v>
      </c>
      <c r="V3" s="171">
        <f t="shared" si="2"/>
        <v>0</v>
      </c>
      <c r="W3" s="171">
        <f t="shared" si="2"/>
        <v>0</v>
      </c>
      <c r="X3" s="171">
        <f t="shared" si="2"/>
        <v>0</v>
      </c>
      <c r="Y3" s="171">
        <f t="shared" si="2"/>
        <v>0</v>
      </c>
      <c r="Z3" s="171">
        <f t="shared" si="2"/>
        <v>0</v>
      </c>
      <c r="AA3" s="171">
        <f t="shared" si="2"/>
        <v>0</v>
      </c>
      <c r="AB3" s="171">
        <f t="shared" si="2"/>
        <v>8.4</v>
      </c>
      <c r="AC3" s="171">
        <f t="shared" si="2"/>
        <v>0</v>
      </c>
      <c r="AD3" s="171">
        <f t="shared" si="2"/>
        <v>0</v>
      </c>
      <c r="AE3" s="171">
        <f t="shared" si="2"/>
        <v>0</v>
      </c>
      <c r="AF3" s="171">
        <f t="shared" si="2"/>
        <v>0</v>
      </c>
      <c r="AG3" s="171">
        <f t="shared" si="2"/>
        <v>0</v>
      </c>
      <c r="AH3" s="171">
        <f t="shared" si="2"/>
        <v>0</v>
      </c>
      <c r="AI3" s="171">
        <f t="shared" si="2"/>
        <v>8.4</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0</v>
      </c>
      <c r="I4" s="170">
        <f t="shared" si="3"/>
        <v>1.6800000000000006</v>
      </c>
      <c r="J4" s="170">
        <f t="shared" si="3"/>
        <v>1.6800000000000006</v>
      </c>
      <c r="K4" s="170">
        <f t="shared" si="3"/>
        <v>1.6800000000000006</v>
      </c>
      <c r="L4" s="170">
        <f t="shared" si="3"/>
        <v>1.6800000000000006</v>
      </c>
      <c r="M4" s="170">
        <f t="shared" si="3"/>
        <v>1.6800000000000006</v>
      </c>
      <c r="N4" s="170">
        <f t="shared" si="3"/>
        <v>0</v>
      </c>
      <c r="O4" s="170">
        <f t="shared" si="3"/>
        <v>0</v>
      </c>
      <c r="P4" s="170">
        <f t="shared" si="3"/>
        <v>0</v>
      </c>
      <c r="Q4" s="170">
        <f t="shared" si="3"/>
        <v>1.6800000000000006</v>
      </c>
      <c r="R4" s="170">
        <f t="shared" si="3"/>
        <v>1.6800000000000006</v>
      </c>
      <c r="S4" s="170">
        <f t="shared" si="3"/>
        <v>1.6800000000000006</v>
      </c>
      <c r="T4" s="170">
        <f t="shared" si="3"/>
        <v>1.6800000000000006</v>
      </c>
      <c r="U4" s="170">
        <f t="shared" si="3"/>
        <v>0</v>
      </c>
      <c r="V4" s="170">
        <f t="shared" si="3"/>
        <v>0</v>
      </c>
      <c r="W4" s="170">
        <f t="shared" si="3"/>
        <v>1.6800000000000006</v>
      </c>
      <c r="X4" s="170">
        <f t="shared" si="3"/>
        <v>1.6800000000000006</v>
      </c>
      <c r="Y4" s="170">
        <f t="shared" si="3"/>
        <v>1.6800000000000006</v>
      </c>
      <c r="Z4" s="170">
        <f t="shared" si="3"/>
        <v>1.6800000000000006</v>
      </c>
      <c r="AA4" s="170">
        <f t="shared" si="3"/>
        <v>1.6800000000000006</v>
      </c>
      <c r="AB4" s="170">
        <f t="shared" si="3"/>
        <v>0</v>
      </c>
      <c r="AC4" s="170">
        <f t="shared" si="3"/>
        <v>0</v>
      </c>
      <c r="AD4" s="170">
        <f t="shared" si="3"/>
        <v>1.6800000000000006</v>
      </c>
      <c r="AE4" s="170">
        <f t="shared" si="3"/>
        <v>1.6800000000000006</v>
      </c>
      <c r="AF4" s="170">
        <f t="shared" si="3"/>
        <v>1.6800000000000006</v>
      </c>
      <c r="AG4" s="170">
        <f t="shared" si="3"/>
        <v>1.6800000000000006</v>
      </c>
      <c r="AH4" s="170">
        <f t="shared" si="3"/>
        <v>1.6800000000000006</v>
      </c>
      <c r="AI4" s="170">
        <f t="shared" si="3"/>
        <v>0</v>
      </c>
      <c r="AJ4" s="170">
        <f t="shared" si="3"/>
        <v>0</v>
      </c>
      <c r="AK4" s="170">
        <f t="shared" si="3"/>
        <v>1.6800000000000006</v>
      </c>
      <c r="AL4" s="170">
        <f t="shared" si="3"/>
        <v>0</v>
      </c>
      <c r="AM4" s="170">
        <f>SUM(H4:AL4)</f>
        <v>33.6</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0</v>
      </c>
      <c r="AM5" s="170"/>
    </row>
    <row r="6" spans="2:39" hidden="1" x14ac:dyDescent="0.2">
      <c r="D6" s="166"/>
      <c r="E6" s="166"/>
      <c r="F6" s="172" t="s">
        <v>7</v>
      </c>
      <c r="G6" s="173" t="s">
        <v>107</v>
      </c>
      <c r="H6" s="174">
        <f t="shared" ref="H6:AI6" si="5">IF(AND(H7=1,H9&gt;0,WEEKDAY(H12,2)&lt;6),(TaginSt-H1)/TaginSt,0)</f>
        <v>0</v>
      </c>
      <c r="I6" s="174">
        <f t="shared" si="5"/>
        <v>1</v>
      </c>
      <c r="J6" s="174">
        <f t="shared" si="5"/>
        <v>1</v>
      </c>
      <c r="K6" s="174">
        <f t="shared" si="5"/>
        <v>1</v>
      </c>
      <c r="L6" s="174">
        <f t="shared" si="5"/>
        <v>1</v>
      </c>
      <c r="M6" s="174">
        <f t="shared" si="5"/>
        <v>1</v>
      </c>
      <c r="N6" s="174">
        <f t="shared" si="5"/>
        <v>0</v>
      </c>
      <c r="O6" s="174">
        <f t="shared" si="5"/>
        <v>0</v>
      </c>
      <c r="P6" s="174">
        <f t="shared" si="5"/>
        <v>0</v>
      </c>
      <c r="Q6" s="174">
        <f t="shared" si="5"/>
        <v>1</v>
      </c>
      <c r="R6" s="174">
        <f t="shared" si="5"/>
        <v>1</v>
      </c>
      <c r="S6" s="174">
        <f t="shared" si="5"/>
        <v>1</v>
      </c>
      <c r="T6" s="174">
        <f t="shared" si="5"/>
        <v>1</v>
      </c>
      <c r="U6" s="174">
        <f t="shared" si="5"/>
        <v>0</v>
      </c>
      <c r="V6" s="174">
        <f t="shared" si="5"/>
        <v>0</v>
      </c>
      <c r="W6" s="174">
        <f t="shared" si="5"/>
        <v>1</v>
      </c>
      <c r="X6" s="174">
        <f t="shared" si="5"/>
        <v>1</v>
      </c>
      <c r="Y6" s="174">
        <f t="shared" si="5"/>
        <v>1</v>
      </c>
      <c r="Z6" s="174">
        <f t="shared" si="5"/>
        <v>1</v>
      </c>
      <c r="AA6" s="174">
        <f t="shared" si="5"/>
        <v>1</v>
      </c>
      <c r="AB6" s="174">
        <f t="shared" si="5"/>
        <v>0</v>
      </c>
      <c r="AC6" s="174">
        <f t="shared" si="5"/>
        <v>0</v>
      </c>
      <c r="AD6" s="174">
        <f t="shared" si="5"/>
        <v>1</v>
      </c>
      <c r="AE6" s="174">
        <f t="shared" si="5"/>
        <v>1</v>
      </c>
      <c r="AF6" s="174">
        <f t="shared" si="5"/>
        <v>1</v>
      </c>
      <c r="AG6" s="174">
        <f t="shared" si="5"/>
        <v>1</v>
      </c>
      <c r="AH6" s="174">
        <f t="shared" si="5"/>
        <v>1</v>
      </c>
      <c r="AI6" s="174">
        <f t="shared" si="5"/>
        <v>0</v>
      </c>
      <c r="AJ6" s="174">
        <f>IFERROR(IF(AND(AJ7=1,AJ9&gt;0,WEEKDAY(AJ12,2)&lt;6),(TaginSt-AJ1)/TaginSt,0),0)</f>
        <v>0</v>
      </c>
      <c r="AK6" s="174">
        <f>IFERROR(IF(AND(AK7=1,AK9&gt;0,WEEKDAY(AK12,2)&lt;6),(TaginSt-AK1)/TaginSt,0),0)</f>
        <v>1</v>
      </c>
      <c r="AL6" s="174">
        <f>IFERROR(IF(AND(AL7=1,AL9&gt;0,WEEKDAY(AL12,2)&lt;6),(TaginSt-AL1)/TaginSt,0),0)</f>
        <v>0</v>
      </c>
      <c r="AM6" s="175"/>
    </row>
    <row r="7" spans="2:39" hidden="1" x14ac:dyDescent="0.2">
      <c r="F7" s="176">
        <v>6</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Juni</v>
      </c>
      <c r="C11" s="184">
        <f>Jahr</f>
        <v>2025</v>
      </c>
      <c r="D11" s="166"/>
      <c r="E11" s="166"/>
      <c r="F11" s="185"/>
      <c r="G11" s="186"/>
      <c r="H11" s="187" t="str">
        <f>TEXT(H12,"TTT")</f>
        <v>So</v>
      </c>
      <c r="I11" s="188" t="str">
        <f>TEXT(I12,"TTT")</f>
        <v>Mo</v>
      </c>
      <c r="J11" s="188" t="str">
        <f t="shared" ref="J11:L11" si="8">TEXT(J12,"TTT")</f>
        <v>Di</v>
      </c>
      <c r="K11" s="188" t="str">
        <f t="shared" si="8"/>
        <v>Mi</v>
      </c>
      <c r="L11" s="188" t="str">
        <f t="shared" si="8"/>
        <v>Do</v>
      </c>
      <c r="M11" s="188" t="str">
        <f>TEXT(M12,"TTT")</f>
        <v>Fr</v>
      </c>
      <c r="N11" s="188" t="str">
        <f t="shared" ref="N11:AL11" si="9">TEXT(N12,"TTT")</f>
        <v>Sa</v>
      </c>
      <c r="O11" s="188" t="str">
        <f t="shared" si="9"/>
        <v>So</v>
      </c>
      <c r="P11" s="188" t="str">
        <f t="shared" si="9"/>
        <v>Mo</v>
      </c>
      <c r="Q11" s="188" t="str">
        <f t="shared" si="9"/>
        <v>Di</v>
      </c>
      <c r="R11" s="188" t="str">
        <f t="shared" si="9"/>
        <v>Mi</v>
      </c>
      <c r="S11" s="188" t="str">
        <f t="shared" si="9"/>
        <v>Do</v>
      </c>
      <c r="T11" s="188" t="str">
        <f t="shared" si="9"/>
        <v>Fr</v>
      </c>
      <c r="U11" s="188" t="str">
        <f t="shared" si="9"/>
        <v>Sa</v>
      </c>
      <c r="V11" s="188" t="str">
        <f t="shared" si="9"/>
        <v>So</v>
      </c>
      <c r="W11" s="188" t="str">
        <f t="shared" si="9"/>
        <v>Mo</v>
      </c>
      <c r="X11" s="188" t="str">
        <f t="shared" si="9"/>
        <v>Di</v>
      </c>
      <c r="Y11" s="188" t="str">
        <f t="shared" si="9"/>
        <v>Mi</v>
      </c>
      <c r="Z11" s="188" t="str">
        <f t="shared" si="9"/>
        <v>Do</v>
      </c>
      <c r="AA11" s="188" t="str">
        <f t="shared" si="9"/>
        <v>Fr</v>
      </c>
      <c r="AB11" s="188" t="str">
        <f t="shared" si="9"/>
        <v>Sa</v>
      </c>
      <c r="AC11" s="188" t="str">
        <f t="shared" si="9"/>
        <v>So</v>
      </c>
      <c r="AD11" s="188" t="str">
        <f t="shared" si="9"/>
        <v>Mo</v>
      </c>
      <c r="AE11" s="188" t="str">
        <f t="shared" si="9"/>
        <v>Di</v>
      </c>
      <c r="AF11" s="188" t="str">
        <f t="shared" si="9"/>
        <v>Mi</v>
      </c>
      <c r="AG11" s="188" t="str">
        <f t="shared" si="9"/>
        <v>Do</v>
      </c>
      <c r="AH11" s="188" t="str">
        <f t="shared" si="9"/>
        <v>Fr</v>
      </c>
      <c r="AI11" s="188" t="str">
        <f t="shared" si="9"/>
        <v>Sa</v>
      </c>
      <c r="AJ11" s="188" t="str">
        <f t="shared" si="9"/>
        <v>So</v>
      </c>
      <c r="AK11" s="188" t="str">
        <f t="shared" si="9"/>
        <v>Mo</v>
      </c>
      <c r="AL11" s="188" t="str">
        <f t="shared" si="9"/>
        <v/>
      </c>
      <c r="AM11" s="188"/>
    </row>
    <row r="12" spans="2:39" ht="12.75" customHeight="1" thickBot="1" x14ac:dyDescent="0.25">
      <c r="B12" s="189" t="str">
        <f>Pfarrer</f>
        <v>Heinz Muster</v>
      </c>
      <c r="C12" s="190"/>
      <c r="D12" s="191"/>
      <c r="E12" s="191"/>
      <c r="F12" s="185"/>
      <c r="G12" s="192" t="s">
        <v>2</v>
      </c>
      <c r="H12" s="193">
        <f>DATE(C11,F7,1)</f>
        <v>44347</v>
      </c>
      <c r="I12" s="194">
        <f>DATE(C11,F7,2)</f>
        <v>44348</v>
      </c>
      <c r="J12" s="194">
        <f>DATE(C11,F7,3)</f>
        <v>44349</v>
      </c>
      <c r="K12" s="194">
        <f>DATE(C11,F7,4)</f>
        <v>44350</v>
      </c>
      <c r="L12" s="194">
        <f>DATE(C11,F7,5)</f>
        <v>44351</v>
      </c>
      <c r="M12" s="194">
        <f>DATE(C11,F7,6)</f>
        <v>44352</v>
      </c>
      <c r="N12" s="194">
        <f>DATE(C11,F7,7)</f>
        <v>44353</v>
      </c>
      <c r="O12" s="194">
        <f>DATE(C11,F7,8)</f>
        <v>44354</v>
      </c>
      <c r="P12" s="194">
        <f>DATE(C11,F7,9)</f>
        <v>44355</v>
      </c>
      <c r="Q12" s="194">
        <f>DATE(C11,F7,10)</f>
        <v>44356</v>
      </c>
      <c r="R12" s="194">
        <f>DATE(C11,F7,11)</f>
        <v>44357</v>
      </c>
      <c r="S12" s="194">
        <f>DATE(C11,F7,12)</f>
        <v>44358</v>
      </c>
      <c r="T12" s="194">
        <f>DATE(C11,F7,13)</f>
        <v>44359</v>
      </c>
      <c r="U12" s="194">
        <f>DATE(C11,F7,14)</f>
        <v>44360</v>
      </c>
      <c r="V12" s="194">
        <f>DATE(C11,F7,15)</f>
        <v>44361</v>
      </c>
      <c r="W12" s="194">
        <f>DATE(C11,F7,16)</f>
        <v>44362</v>
      </c>
      <c r="X12" s="194">
        <f>DATE(C11,F7,17)</f>
        <v>44363</v>
      </c>
      <c r="Y12" s="194">
        <f>DATE(C11,F7,18)</f>
        <v>44364</v>
      </c>
      <c r="Z12" s="194">
        <f>DATE(C11,F7,19)</f>
        <v>44365</v>
      </c>
      <c r="AA12" s="194">
        <f>DATE(C11,F7,20)</f>
        <v>44366</v>
      </c>
      <c r="AB12" s="194">
        <f>DATE(C11,F7,21)</f>
        <v>44367</v>
      </c>
      <c r="AC12" s="194">
        <f>DATE(C11,F7,22)</f>
        <v>44368</v>
      </c>
      <c r="AD12" s="194">
        <f>DATE(C11,F7,23)</f>
        <v>44369</v>
      </c>
      <c r="AE12" s="194">
        <f>DATE(C11,F7,24)</f>
        <v>44370</v>
      </c>
      <c r="AF12" s="194">
        <f>DATE(C11,F7,25)</f>
        <v>44371</v>
      </c>
      <c r="AG12" s="194">
        <f>DATE(C11,F7,26)</f>
        <v>44372</v>
      </c>
      <c r="AH12" s="194">
        <f>DATE(C11,F7,27)</f>
        <v>44373</v>
      </c>
      <c r="AI12" s="194">
        <f>DATE(C11,F7,28)</f>
        <v>44374</v>
      </c>
      <c r="AJ12" s="194">
        <f>IFERROR(IF(MONTH(AI12+1)=MONTH($H$12),AI$12+1,""),"")</f>
        <v>44375</v>
      </c>
      <c r="AK12" s="194">
        <f>IFERROR(IF(MONTH(AJ12+1)=MONTH($H$12),AJ$12+1,""),"")</f>
        <v>44376</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0</v>
      </c>
      <c r="I14" s="204">
        <f t="shared" si="10"/>
        <v>6.72</v>
      </c>
      <c r="J14" s="204">
        <f t="shared" si="10"/>
        <v>6.72</v>
      </c>
      <c r="K14" s="204">
        <f t="shared" si="10"/>
        <v>6.72</v>
      </c>
      <c r="L14" s="204">
        <f t="shared" si="10"/>
        <v>6.72</v>
      </c>
      <c r="M14" s="204">
        <f t="shared" si="10"/>
        <v>6.72</v>
      </c>
      <c r="N14" s="204">
        <f t="shared" si="10"/>
        <v>0</v>
      </c>
      <c r="O14" s="204">
        <f t="shared" si="10"/>
        <v>0</v>
      </c>
      <c r="P14" s="204">
        <f t="shared" si="10"/>
        <v>0</v>
      </c>
      <c r="Q14" s="204">
        <f t="shared" si="10"/>
        <v>6.72</v>
      </c>
      <c r="R14" s="204">
        <f t="shared" si="10"/>
        <v>6.72</v>
      </c>
      <c r="S14" s="204">
        <f t="shared" si="10"/>
        <v>6.72</v>
      </c>
      <c r="T14" s="204">
        <f t="shared" si="10"/>
        <v>6.72</v>
      </c>
      <c r="U14" s="204">
        <f t="shared" si="10"/>
        <v>0</v>
      </c>
      <c r="V14" s="204">
        <f t="shared" si="10"/>
        <v>0</v>
      </c>
      <c r="W14" s="204">
        <f t="shared" si="10"/>
        <v>6.72</v>
      </c>
      <c r="X14" s="204">
        <f t="shared" si="10"/>
        <v>6.72</v>
      </c>
      <c r="Y14" s="204">
        <f t="shared" si="10"/>
        <v>6.72</v>
      </c>
      <c r="Z14" s="204">
        <f t="shared" si="10"/>
        <v>6.72</v>
      </c>
      <c r="AA14" s="204">
        <f t="shared" si="10"/>
        <v>6.72</v>
      </c>
      <c r="AB14" s="204">
        <f t="shared" si="10"/>
        <v>0</v>
      </c>
      <c r="AC14" s="204">
        <f t="shared" si="10"/>
        <v>0</v>
      </c>
      <c r="AD14" s="204">
        <f t="shared" si="10"/>
        <v>6.72</v>
      </c>
      <c r="AE14" s="204">
        <f t="shared" si="10"/>
        <v>6.72</v>
      </c>
      <c r="AF14" s="204">
        <f t="shared" si="10"/>
        <v>6.72</v>
      </c>
      <c r="AG14" s="204">
        <f t="shared" si="10"/>
        <v>6.72</v>
      </c>
      <c r="AH14" s="204">
        <f t="shared" si="10"/>
        <v>6.72</v>
      </c>
      <c r="AI14" s="204">
        <f t="shared" si="10"/>
        <v>0</v>
      </c>
      <c r="AJ14" s="204">
        <f>IFERROR(IF(OR(WEEKDAY(AJ12,2)&gt;=6,AJ7=0),0,(TaginSt-AJ1)*AJ9/100),0)</f>
        <v>0</v>
      </c>
      <c r="AK14" s="204">
        <f>IFERROR(IF(OR(WEEKDAY(AK12,2)&gt;=6,AK7=0),0,(TaginSt-AK1)*AK9/100),0)</f>
        <v>6.72</v>
      </c>
      <c r="AL14" s="204">
        <f>IFERROR(IF(OR(WEEKDAY(AL12,2)&gt;=6,AL7=0),0,(TaginSt-AL1)*AL9/100),0)</f>
        <v>0</v>
      </c>
      <c r="AM14" s="205">
        <f>SUM(H14:AL14)</f>
        <v>134.4</v>
      </c>
    </row>
    <row r="15" spans="2:39" ht="12.75" customHeight="1" x14ac:dyDescent="0.2">
      <c r="D15" s="202"/>
      <c r="E15" s="202"/>
      <c r="F15" s="566"/>
      <c r="G15" s="203" t="s">
        <v>136</v>
      </c>
      <c r="H15" s="204">
        <f t="shared" ref="H15:AL15" si="11">H14/TaginSt</f>
        <v>0</v>
      </c>
      <c r="I15" s="206">
        <f t="shared" si="11"/>
        <v>0.79999999999999993</v>
      </c>
      <c r="J15" s="206">
        <f t="shared" si="11"/>
        <v>0.79999999999999993</v>
      </c>
      <c r="K15" s="206">
        <f t="shared" si="11"/>
        <v>0.79999999999999993</v>
      </c>
      <c r="L15" s="206">
        <f t="shared" si="11"/>
        <v>0.79999999999999993</v>
      </c>
      <c r="M15" s="206">
        <f t="shared" si="11"/>
        <v>0.79999999999999993</v>
      </c>
      <c r="N15" s="206">
        <f t="shared" si="11"/>
        <v>0</v>
      </c>
      <c r="O15" s="206">
        <f t="shared" si="11"/>
        <v>0</v>
      </c>
      <c r="P15" s="206">
        <f t="shared" si="11"/>
        <v>0</v>
      </c>
      <c r="Q15" s="206">
        <f t="shared" si="11"/>
        <v>0.79999999999999993</v>
      </c>
      <c r="R15" s="206">
        <f t="shared" si="11"/>
        <v>0.79999999999999993</v>
      </c>
      <c r="S15" s="206">
        <f t="shared" si="11"/>
        <v>0.79999999999999993</v>
      </c>
      <c r="T15" s="206">
        <f t="shared" si="11"/>
        <v>0.79999999999999993</v>
      </c>
      <c r="U15" s="206">
        <f t="shared" si="11"/>
        <v>0</v>
      </c>
      <c r="V15" s="206">
        <f t="shared" si="11"/>
        <v>0</v>
      </c>
      <c r="W15" s="206">
        <f t="shared" si="11"/>
        <v>0.79999999999999993</v>
      </c>
      <c r="X15" s="206">
        <f t="shared" si="11"/>
        <v>0.79999999999999993</v>
      </c>
      <c r="Y15" s="206">
        <f t="shared" si="11"/>
        <v>0.79999999999999993</v>
      </c>
      <c r="Z15" s="206">
        <f t="shared" si="11"/>
        <v>0.79999999999999993</v>
      </c>
      <c r="AA15" s="206">
        <f t="shared" si="11"/>
        <v>0.79999999999999993</v>
      </c>
      <c r="AB15" s="206">
        <f t="shared" si="11"/>
        <v>0</v>
      </c>
      <c r="AC15" s="206">
        <f t="shared" si="11"/>
        <v>0</v>
      </c>
      <c r="AD15" s="206">
        <f t="shared" si="11"/>
        <v>0.79999999999999993</v>
      </c>
      <c r="AE15" s="206">
        <f t="shared" si="11"/>
        <v>0.79999999999999993</v>
      </c>
      <c r="AF15" s="206">
        <f t="shared" si="11"/>
        <v>0.79999999999999993</v>
      </c>
      <c r="AG15" s="206">
        <f t="shared" si="11"/>
        <v>0.79999999999999993</v>
      </c>
      <c r="AH15" s="206">
        <f t="shared" si="11"/>
        <v>0.79999999999999993</v>
      </c>
      <c r="AI15" s="206">
        <f t="shared" si="11"/>
        <v>0</v>
      </c>
      <c r="AJ15" s="206">
        <f t="shared" si="11"/>
        <v>0</v>
      </c>
      <c r="AK15" s="206">
        <f t="shared" si="11"/>
        <v>0.79999999999999993</v>
      </c>
      <c r="AL15" s="206">
        <f t="shared" si="11"/>
        <v>0</v>
      </c>
      <c r="AM15" s="205">
        <f>SUM(H15:AL15)</f>
        <v>16.000000000000004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SaldoStdEndeMai</f>
        <v>-692.16000000000167</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214"/>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218"/>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222"/>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218"/>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222"/>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229"/>
      <c r="AM22" s="219"/>
    </row>
    <row r="23" spans="2:39" ht="12.75" customHeight="1" thickBot="1" x14ac:dyDescent="0.25">
      <c r="B23" s="230" t="s">
        <v>110</v>
      </c>
      <c r="C23" s="231">
        <f>Mai!C23-AM42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233"/>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237"/>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Mai!C27-AM50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255"/>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258"/>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255"/>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255"/>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255"/>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255"/>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255"/>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255"/>
      <c r="AM38" s="247">
        <f t="shared" si="15"/>
        <v>0</v>
      </c>
    </row>
    <row r="39" spans="2:43" ht="12.75" customHeight="1" x14ac:dyDescent="0.2">
      <c r="D39" s="250"/>
      <c r="E39" s="250"/>
      <c r="F39" s="458" t="s">
        <v>266</v>
      </c>
      <c r="G39" s="262" t="s">
        <v>168</v>
      </c>
      <c r="H39" s="263">
        <f t="shared" ref="H39:AL40" si="16">IF(ISERROR(H51/TaginSt),0,H51/TaginSt)</f>
        <v>0</v>
      </c>
      <c r="I39" s="263">
        <f t="shared" si="16"/>
        <v>0</v>
      </c>
      <c r="J39" s="263">
        <f t="shared" si="16"/>
        <v>0</v>
      </c>
      <c r="K39" s="263">
        <f t="shared" si="16"/>
        <v>0</v>
      </c>
      <c r="L39" s="263">
        <f>IF(ISERROR(L51/TaginSt),0,L51/TaginSt)</f>
        <v>0</v>
      </c>
      <c r="M39" s="263">
        <f t="shared" si="16"/>
        <v>0</v>
      </c>
      <c r="N39" s="263">
        <f t="shared" si="16"/>
        <v>1</v>
      </c>
      <c r="O39" s="263">
        <f t="shared" si="16"/>
        <v>0</v>
      </c>
      <c r="P39" s="263">
        <f t="shared" si="16"/>
        <v>0</v>
      </c>
      <c r="Q39" s="263">
        <f t="shared" si="16"/>
        <v>0</v>
      </c>
      <c r="R39" s="263">
        <f t="shared" si="16"/>
        <v>0</v>
      </c>
      <c r="S39" s="263">
        <f t="shared" si="16"/>
        <v>0</v>
      </c>
      <c r="T39" s="263">
        <f t="shared" si="16"/>
        <v>0</v>
      </c>
      <c r="U39" s="263">
        <f t="shared" si="16"/>
        <v>1</v>
      </c>
      <c r="V39" s="263">
        <f t="shared" si="16"/>
        <v>0</v>
      </c>
      <c r="W39" s="263">
        <f t="shared" si="16"/>
        <v>0</v>
      </c>
      <c r="X39" s="263">
        <f t="shared" si="16"/>
        <v>0</v>
      </c>
      <c r="Y39" s="263">
        <f t="shared" si="16"/>
        <v>0</v>
      </c>
      <c r="Z39" s="263">
        <f t="shared" si="16"/>
        <v>0</v>
      </c>
      <c r="AA39" s="263">
        <f t="shared" si="16"/>
        <v>0</v>
      </c>
      <c r="AB39" s="263">
        <f t="shared" si="16"/>
        <v>1</v>
      </c>
      <c r="AC39" s="263">
        <f t="shared" si="16"/>
        <v>0</v>
      </c>
      <c r="AD39" s="263">
        <f t="shared" si="16"/>
        <v>0</v>
      </c>
      <c r="AE39" s="263">
        <f t="shared" si="16"/>
        <v>0</v>
      </c>
      <c r="AF39" s="263">
        <f t="shared" si="16"/>
        <v>0</v>
      </c>
      <c r="AG39" s="263">
        <f t="shared" si="16"/>
        <v>0</v>
      </c>
      <c r="AH39" s="263">
        <f t="shared" si="16"/>
        <v>0</v>
      </c>
      <c r="AI39" s="263">
        <f t="shared" si="16"/>
        <v>1</v>
      </c>
      <c r="AJ39" s="263">
        <f t="shared" si="16"/>
        <v>0</v>
      </c>
      <c r="AK39" s="263">
        <f t="shared" si="16"/>
        <v>0</v>
      </c>
      <c r="AL39" s="263">
        <f t="shared" si="16"/>
        <v>0</v>
      </c>
      <c r="AM39" s="264">
        <f>SUM(H39:AL39)</f>
        <v>4</v>
      </c>
      <c r="AN39" s="265"/>
    </row>
    <row r="40" spans="2:43" ht="12.75" customHeight="1" x14ac:dyDescent="0.2">
      <c r="D40" s="250"/>
      <c r="E40" s="250"/>
      <c r="F40" s="459" t="s">
        <v>267</v>
      </c>
      <c r="G40" s="266" t="s">
        <v>188</v>
      </c>
      <c r="H40" s="263">
        <f t="shared" si="16"/>
        <v>0</v>
      </c>
      <c r="I40" s="263">
        <f t="shared" si="16"/>
        <v>1</v>
      </c>
      <c r="J40" s="263">
        <f>IF(ISERROR(J52/TaginSt),0,J52/TaginSt)</f>
        <v>1</v>
      </c>
      <c r="K40" s="263">
        <f t="shared" si="16"/>
        <v>1</v>
      </c>
      <c r="L40" s="263">
        <f t="shared" si="16"/>
        <v>1</v>
      </c>
      <c r="M40" s="263">
        <f t="shared" si="16"/>
        <v>1</v>
      </c>
      <c r="N40" s="263">
        <f t="shared" si="16"/>
        <v>0</v>
      </c>
      <c r="O40" s="263">
        <f t="shared" si="16"/>
        <v>0</v>
      </c>
      <c r="P40" s="263">
        <f t="shared" si="16"/>
        <v>0</v>
      </c>
      <c r="Q40" s="263">
        <f t="shared" si="16"/>
        <v>1</v>
      </c>
      <c r="R40" s="263">
        <f t="shared" si="16"/>
        <v>1</v>
      </c>
      <c r="S40" s="263">
        <f t="shared" si="16"/>
        <v>1</v>
      </c>
      <c r="T40" s="263">
        <f t="shared" si="16"/>
        <v>1</v>
      </c>
      <c r="U40" s="263">
        <f t="shared" si="16"/>
        <v>0</v>
      </c>
      <c r="V40" s="263">
        <f t="shared" si="16"/>
        <v>0</v>
      </c>
      <c r="W40" s="263">
        <f t="shared" si="16"/>
        <v>1</v>
      </c>
      <c r="X40" s="263">
        <f t="shared" si="16"/>
        <v>1</v>
      </c>
      <c r="Y40" s="263">
        <f t="shared" si="16"/>
        <v>1</v>
      </c>
      <c r="Z40" s="263">
        <f t="shared" si="16"/>
        <v>1</v>
      </c>
      <c r="AA40" s="263">
        <f t="shared" si="16"/>
        <v>1</v>
      </c>
      <c r="AB40" s="263">
        <f t="shared" si="16"/>
        <v>0</v>
      </c>
      <c r="AC40" s="263">
        <f t="shared" si="16"/>
        <v>0</v>
      </c>
      <c r="AD40" s="263">
        <f t="shared" si="16"/>
        <v>1</v>
      </c>
      <c r="AE40" s="263">
        <f t="shared" si="16"/>
        <v>1</v>
      </c>
      <c r="AF40" s="263">
        <f t="shared" si="16"/>
        <v>1</v>
      </c>
      <c r="AG40" s="263">
        <f t="shared" si="16"/>
        <v>1</v>
      </c>
      <c r="AH40" s="263">
        <f t="shared" si="16"/>
        <v>1</v>
      </c>
      <c r="AI40" s="263">
        <f t="shared" si="16"/>
        <v>0</v>
      </c>
      <c r="AJ40" s="263">
        <f t="shared" si="16"/>
        <v>0</v>
      </c>
      <c r="AK40" s="263">
        <f t="shared" si="16"/>
        <v>1</v>
      </c>
      <c r="AL40" s="263">
        <f t="shared" si="16"/>
        <v>0</v>
      </c>
      <c r="AM40" s="264">
        <f>SUM(H40:AL40)</f>
        <v>20</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0</v>
      </c>
      <c r="I51" s="270">
        <f t="shared" si="29"/>
        <v>0</v>
      </c>
      <c r="J51" s="270">
        <f t="shared" si="29"/>
        <v>0</v>
      </c>
      <c r="K51" s="270">
        <f t="shared" si="29"/>
        <v>0</v>
      </c>
      <c r="L51" s="270">
        <f t="shared" si="29"/>
        <v>0</v>
      </c>
      <c r="M51" s="270">
        <f t="shared" si="29"/>
        <v>0</v>
      </c>
      <c r="N51" s="270">
        <f t="shared" si="29"/>
        <v>8.4</v>
      </c>
      <c r="O51" s="270">
        <f t="shared" si="29"/>
        <v>0</v>
      </c>
      <c r="P51" s="270">
        <f t="shared" si="29"/>
        <v>0</v>
      </c>
      <c r="Q51" s="270">
        <f t="shared" si="29"/>
        <v>0</v>
      </c>
      <c r="R51" s="270">
        <f t="shared" si="29"/>
        <v>0</v>
      </c>
      <c r="S51" s="270">
        <f t="shared" si="29"/>
        <v>0</v>
      </c>
      <c r="T51" s="270">
        <f t="shared" si="29"/>
        <v>0</v>
      </c>
      <c r="U51" s="270">
        <f t="shared" si="29"/>
        <v>8.4</v>
      </c>
      <c r="V51" s="270">
        <f t="shared" si="29"/>
        <v>0</v>
      </c>
      <c r="W51" s="270">
        <f t="shared" si="29"/>
        <v>0</v>
      </c>
      <c r="X51" s="270">
        <f t="shared" si="29"/>
        <v>0</v>
      </c>
      <c r="Y51" s="270">
        <f t="shared" si="29"/>
        <v>0</v>
      </c>
      <c r="Z51" s="270">
        <f t="shared" si="29"/>
        <v>0</v>
      </c>
      <c r="AA51" s="270">
        <f t="shared" si="29"/>
        <v>0</v>
      </c>
      <c r="AB51" s="270">
        <f t="shared" si="29"/>
        <v>8.4</v>
      </c>
      <c r="AC51" s="270">
        <f t="shared" si="29"/>
        <v>0</v>
      </c>
      <c r="AD51" s="270">
        <f t="shared" si="29"/>
        <v>0</v>
      </c>
      <c r="AE51" s="270">
        <f t="shared" si="29"/>
        <v>0</v>
      </c>
      <c r="AF51" s="270">
        <f t="shared" si="29"/>
        <v>0</v>
      </c>
      <c r="AG51" s="270">
        <f t="shared" si="29"/>
        <v>0</v>
      </c>
      <c r="AH51" s="270">
        <f t="shared" si="29"/>
        <v>0</v>
      </c>
      <c r="AI51" s="270">
        <f t="shared" si="29"/>
        <v>8.4</v>
      </c>
      <c r="AJ51" s="270">
        <f>IFERROR(IF(OR(AJ3&gt;0,AND(AJ9=100,OR(WEEKDAY(AJ12,2)&lt;7,AJ1&gt;0))),AJ3+AJ14-AJ26,0),"")</f>
        <v>0</v>
      </c>
      <c r="AK51" s="270">
        <f>IFERROR(IF(OR(AK3&gt;0,AND(AK9=100,OR(WEEKDAY(AK12,2)&lt;7,AK1&gt;0))),AK3+AK14-AK26,0),"")</f>
        <v>0</v>
      </c>
      <c r="AL51" s="270" t="str">
        <f>IFERROR(IF(OR(AL3&gt;0,AND(AL9=100,OR(WEEKDAY(AL12,2)&lt;7,AL1&gt;0))),AL3+AL14-AL26,0),"")</f>
        <v/>
      </c>
      <c r="AM51" s="271">
        <f t="shared" si="20"/>
        <v>33.6</v>
      </c>
      <c r="AN51" s="272"/>
      <c r="AO51" s="562"/>
    </row>
    <row r="52" spans="2:41" ht="12.75" hidden="1" customHeight="1" x14ac:dyDescent="0.2">
      <c r="B52" s="256"/>
      <c r="C52" s="257"/>
      <c r="D52" s="250"/>
      <c r="E52" s="250"/>
      <c r="F52" s="564"/>
      <c r="G52" s="269" t="s">
        <v>170</v>
      </c>
      <c r="H52" s="270">
        <f t="shared" ref="H52:AI52" si="30">IF(H4&gt;0,IF(AND(H1&gt;0,H14+H4-H26&lt;=H4),H4,H14+H4-H26),0)</f>
        <v>0</v>
      </c>
      <c r="I52" s="270">
        <f t="shared" si="30"/>
        <v>8.4</v>
      </c>
      <c r="J52" s="270">
        <f t="shared" si="30"/>
        <v>8.4</v>
      </c>
      <c r="K52" s="270">
        <f t="shared" si="30"/>
        <v>8.4</v>
      </c>
      <c r="L52" s="270">
        <f t="shared" si="30"/>
        <v>8.4</v>
      </c>
      <c r="M52" s="270">
        <f t="shared" si="30"/>
        <v>8.4</v>
      </c>
      <c r="N52" s="270">
        <f t="shared" si="30"/>
        <v>0</v>
      </c>
      <c r="O52" s="270">
        <f t="shared" si="30"/>
        <v>0</v>
      </c>
      <c r="P52" s="270">
        <f t="shared" si="30"/>
        <v>0</v>
      </c>
      <c r="Q52" s="270">
        <f t="shared" si="30"/>
        <v>8.4</v>
      </c>
      <c r="R52" s="270">
        <f t="shared" si="30"/>
        <v>8.4</v>
      </c>
      <c r="S52" s="270">
        <f t="shared" si="30"/>
        <v>8.4</v>
      </c>
      <c r="T52" s="270">
        <f t="shared" si="30"/>
        <v>8.4</v>
      </c>
      <c r="U52" s="270">
        <f t="shared" si="30"/>
        <v>0</v>
      </c>
      <c r="V52" s="270">
        <f t="shared" si="30"/>
        <v>0</v>
      </c>
      <c r="W52" s="270">
        <f t="shared" si="30"/>
        <v>8.4</v>
      </c>
      <c r="X52" s="270">
        <f t="shared" si="30"/>
        <v>8.4</v>
      </c>
      <c r="Y52" s="270">
        <f t="shared" si="30"/>
        <v>8.4</v>
      </c>
      <c r="Z52" s="270">
        <f t="shared" si="30"/>
        <v>8.4</v>
      </c>
      <c r="AA52" s="270">
        <f t="shared" si="30"/>
        <v>8.4</v>
      </c>
      <c r="AB52" s="270">
        <f t="shared" si="30"/>
        <v>0</v>
      </c>
      <c r="AC52" s="270">
        <f t="shared" si="30"/>
        <v>0</v>
      </c>
      <c r="AD52" s="270">
        <f t="shared" si="30"/>
        <v>8.4</v>
      </c>
      <c r="AE52" s="270">
        <f t="shared" si="30"/>
        <v>8.4</v>
      </c>
      <c r="AF52" s="270">
        <f t="shared" si="30"/>
        <v>8.4</v>
      </c>
      <c r="AG52" s="270">
        <f t="shared" si="30"/>
        <v>8.4</v>
      </c>
      <c r="AH52" s="270">
        <f t="shared" si="30"/>
        <v>8.4</v>
      </c>
      <c r="AI52" s="270">
        <f t="shared" si="30"/>
        <v>0</v>
      </c>
      <c r="AJ52" s="270">
        <f>IFERROR(IF(AJ4&gt;0,IF(AND(AJ1&gt;0,AJ14+AJ4-AJ26&lt;=AJ4),AJ4,AJ14+AJ4-AJ26),0),"")</f>
        <v>0</v>
      </c>
      <c r="AK52" s="270">
        <f>IFERROR(IF(AK4&gt;0,IF(AND(AK1&gt;0,AK14+AK4-AK26&lt;=AK4),AK4,AK14+AK4-AK26),0),"")</f>
        <v>8.4</v>
      </c>
      <c r="AL52" s="270">
        <f>IFERROR(IF(AL4&gt;0,IF(AND(AL1&gt;0,AL14+AL4-AL26&lt;=AL4),AL4,AL14+AL4-AL26),0),"")</f>
        <v>0</v>
      </c>
      <c r="AM52" s="271">
        <f t="shared" si="20"/>
        <v>168.00000000000006</v>
      </c>
      <c r="AN52" s="272"/>
      <c r="AO52" s="562"/>
    </row>
    <row r="53" spans="2:41" ht="12.75" hidden="1" customHeight="1" x14ac:dyDescent="0.2">
      <c r="B53" s="256"/>
      <c r="C53" s="257"/>
      <c r="D53" s="250"/>
      <c r="E53" s="250"/>
      <c r="F53" s="564"/>
      <c r="G53" s="275" t="s">
        <v>173</v>
      </c>
      <c r="H53" s="270">
        <f>IFERROR(H51+H52,"")</f>
        <v>0</v>
      </c>
      <c r="I53" s="270">
        <f t="shared" ref="I53:AL53" si="31">IFERROR(I51+I52,"")</f>
        <v>8.4</v>
      </c>
      <c r="J53" s="270">
        <f t="shared" si="31"/>
        <v>8.4</v>
      </c>
      <c r="K53" s="270">
        <f t="shared" si="31"/>
        <v>8.4</v>
      </c>
      <c r="L53" s="270">
        <f t="shared" si="31"/>
        <v>8.4</v>
      </c>
      <c r="M53" s="270">
        <f t="shared" si="31"/>
        <v>8.4</v>
      </c>
      <c r="N53" s="270">
        <f t="shared" si="31"/>
        <v>8.4</v>
      </c>
      <c r="O53" s="270">
        <f t="shared" si="31"/>
        <v>0</v>
      </c>
      <c r="P53" s="270">
        <f t="shared" si="31"/>
        <v>0</v>
      </c>
      <c r="Q53" s="270">
        <f t="shared" si="31"/>
        <v>8.4</v>
      </c>
      <c r="R53" s="270">
        <f t="shared" si="31"/>
        <v>8.4</v>
      </c>
      <c r="S53" s="270">
        <f t="shared" si="31"/>
        <v>8.4</v>
      </c>
      <c r="T53" s="270">
        <f t="shared" si="31"/>
        <v>8.4</v>
      </c>
      <c r="U53" s="270">
        <f t="shared" si="31"/>
        <v>8.4</v>
      </c>
      <c r="V53" s="270">
        <f t="shared" si="31"/>
        <v>0</v>
      </c>
      <c r="W53" s="270">
        <f t="shared" si="31"/>
        <v>8.4</v>
      </c>
      <c r="X53" s="270">
        <f t="shared" si="31"/>
        <v>8.4</v>
      </c>
      <c r="Y53" s="270">
        <f t="shared" si="31"/>
        <v>8.4</v>
      </c>
      <c r="Z53" s="270">
        <f t="shared" si="31"/>
        <v>8.4</v>
      </c>
      <c r="AA53" s="270">
        <f t="shared" si="31"/>
        <v>8.4</v>
      </c>
      <c r="AB53" s="270">
        <f t="shared" si="31"/>
        <v>8.4</v>
      </c>
      <c r="AC53" s="270">
        <f t="shared" si="31"/>
        <v>0</v>
      </c>
      <c r="AD53" s="270">
        <f t="shared" si="31"/>
        <v>8.4</v>
      </c>
      <c r="AE53" s="270">
        <f t="shared" si="31"/>
        <v>8.4</v>
      </c>
      <c r="AF53" s="270">
        <f t="shared" si="31"/>
        <v>8.4</v>
      </c>
      <c r="AG53" s="270">
        <f t="shared" si="31"/>
        <v>8.4</v>
      </c>
      <c r="AH53" s="270">
        <f t="shared" si="31"/>
        <v>8.4</v>
      </c>
      <c r="AI53" s="270">
        <f t="shared" si="31"/>
        <v>8.4</v>
      </c>
      <c r="AJ53" s="270">
        <f t="shared" si="31"/>
        <v>0</v>
      </c>
      <c r="AK53" s="270">
        <f t="shared" si="31"/>
        <v>8.4</v>
      </c>
      <c r="AL53" s="270" t="str">
        <f t="shared" si="31"/>
        <v/>
      </c>
      <c r="AM53" s="271">
        <f t="shared" si="20"/>
        <v>201.60000000000008</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0</v>
      </c>
      <c r="I55" s="270">
        <f t="shared" si="33"/>
        <v>6.72</v>
      </c>
      <c r="J55" s="270">
        <f t="shared" si="33"/>
        <v>6.72</v>
      </c>
      <c r="K55" s="270">
        <f t="shared" si="33"/>
        <v>6.72</v>
      </c>
      <c r="L55" s="270">
        <f t="shared" si="33"/>
        <v>6.72</v>
      </c>
      <c r="M55" s="270">
        <f t="shared" si="33"/>
        <v>6.72</v>
      </c>
      <c r="N55" s="270">
        <f t="shared" si="33"/>
        <v>0</v>
      </c>
      <c r="O55" s="270">
        <f t="shared" si="33"/>
        <v>0</v>
      </c>
      <c r="P55" s="270">
        <f t="shared" si="33"/>
        <v>0</v>
      </c>
      <c r="Q55" s="270">
        <f t="shared" si="33"/>
        <v>6.72</v>
      </c>
      <c r="R55" s="270">
        <f t="shared" si="33"/>
        <v>6.72</v>
      </c>
      <c r="S55" s="270">
        <f t="shared" si="33"/>
        <v>6.72</v>
      </c>
      <c r="T55" s="270">
        <f t="shared" si="33"/>
        <v>6.72</v>
      </c>
      <c r="U55" s="270">
        <f t="shared" si="33"/>
        <v>0</v>
      </c>
      <c r="V55" s="270">
        <f t="shared" si="33"/>
        <v>0</v>
      </c>
      <c r="W55" s="270">
        <f t="shared" si="33"/>
        <v>6.72</v>
      </c>
      <c r="X55" s="270">
        <f t="shared" si="33"/>
        <v>6.72</v>
      </c>
      <c r="Y55" s="270">
        <f t="shared" si="33"/>
        <v>6.72</v>
      </c>
      <c r="Z55" s="270">
        <f t="shared" si="33"/>
        <v>6.72</v>
      </c>
      <c r="AA55" s="270">
        <f t="shared" si="33"/>
        <v>6.72</v>
      </c>
      <c r="AB55" s="270">
        <f t="shared" si="33"/>
        <v>0</v>
      </c>
      <c r="AC55" s="270">
        <f t="shared" si="33"/>
        <v>0</v>
      </c>
      <c r="AD55" s="270">
        <f t="shared" si="33"/>
        <v>6.72</v>
      </c>
      <c r="AE55" s="270">
        <f t="shared" si="33"/>
        <v>6.72</v>
      </c>
      <c r="AF55" s="270">
        <f t="shared" si="33"/>
        <v>6.72</v>
      </c>
      <c r="AG55" s="270">
        <f t="shared" si="33"/>
        <v>6.72</v>
      </c>
      <c r="AH55" s="270">
        <f t="shared" si="33"/>
        <v>6.72</v>
      </c>
      <c r="AI55" s="270">
        <f t="shared" si="33"/>
        <v>0</v>
      </c>
      <c r="AJ55" s="270">
        <f t="shared" si="33"/>
        <v>0</v>
      </c>
      <c r="AK55" s="270">
        <f t="shared" si="33"/>
        <v>6.72</v>
      </c>
      <c r="AL55" s="270">
        <f t="shared" si="33"/>
        <v>0</v>
      </c>
      <c r="AM55" s="271">
        <f t="shared" si="20"/>
        <v>134.4</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
      </c>
      <c r="I66" s="279" t="str">
        <f t="shared" ref="I66:AL66" si="44">IF(OR(I53="",I53=0),"",ROUND(I53,2)&amp;" TZ/FR")</f>
        <v>8,4 TZ/FR</v>
      </c>
      <c r="J66" s="279" t="str">
        <f t="shared" si="44"/>
        <v>8,4 TZ/FR</v>
      </c>
      <c r="K66" s="279" t="str">
        <f t="shared" si="44"/>
        <v>8,4 TZ/FR</v>
      </c>
      <c r="L66" s="279" t="str">
        <f t="shared" si="44"/>
        <v>8,4 TZ/FR</v>
      </c>
      <c r="M66" s="279" t="str">
        <f t="shared" si="44"/>
        <v>8,4 TZ/FR</v>
      </c>
      <c r="N66" s="279" t="str">
        <f t="shared" si="44"/>
        <v>8,4 TZ/FR</v>
      </c>
      <c r="O66" s="279" t="str">
        <f t="shared" si="44"/>
        <v/>
      </c>
      <c r="P66" s="279" t="str">
        <f t="shared" si="44"/>
        <v/>
      </c>
      <c r="Q66" s="279" t="str">
        <f t="shared" si="44"/>
        <v>8,4 TZ/FR</v>
      </c>
      <c r="R66" s="279" t="str">
        <f t="shared" si="44"/>
        <v>8,4 TZ/FR</v>
      </c>
      <c r="S66" s="279" t="str">
        <f t="shared" si="44"/>
        <v>8,4 TZ/FR</v>
      </c>
      <c r="T66" s="279" t="str">
        <f t="shared" si="44"/>
        <v>8,4 TZ/FR</v>
      </c>
      <c r="U66" s="279" t="str">
        <f t="shared" si="44"/>
        <v>8,4 TZ/FR</v>
      </c>
      <c r="V66" s="279" t="str">
        <f t="shared" si="44"/>
        <v/>
      </c>
      <c r="W66" s="279" t="str">
        <f t="shared" si="44"/>
        <v>8,4 TZ/FR</v>
      </c>
      <c r="X66" s="279" t="str">
        <f t="shared" si="44"/>
        <v>8,4 TZ/FR</v>
      </c>
      <c r="Y66" s="279" t="str">
        <f t="shared" si="44"/>
        <v>8,4 TZ/FR</v>
      </c>
      <c r="Z66" s="279" t="str">
        <f t="shared" si="44"/>
        <v>8,4 TZ/FR</v>
      </c>
      <c r="AA66" s="279" t="str">
        <f t="shared" si="44"/>
        <v>8,4 TZ/FR</v>
      </c>
      <c r="AB66" s="279" t="str">
        <f t="shared" si="44"/>
        <v>8,4 TZ/FR</v>
      </c>
      <c r="AC66" s="279" t="str">
        <f t="shared" si="44"/>
        <v/>
      </c>
      <c r="AD66" s="279" t="str">
        <f t="shared" si="44"/>
        <v>8,4 TZ/FR</v>
      </c>
      <c r="AE66" s="279" t="str">
        <f t="shared" si="44"/>
        <v>8,4 TZ/FR</v>
      </c>
      <c r="AF66" s="279" t="str">
        <f t="shared" si="44"/>
        <v>8,4 TZ/FR</v>
      </c>
      <c r="AG66" s="279" t="str">
        <f t="shared" si="44"/>
        <v>8,4 TZ/FR</v>
      </c>
      <c r="AH66" s="279" t="str">
        <f t="shared" si="44"/>
        <v>8,4 TZ/FR</v>
      </c>
      <c r="AI66" s="279" t="str">
        <f t="shared" si="44"/>
        <v>8,4 TZ/FR</v>
      </c>
      <c r="AJ66" s="279" t="str">
        <f t="shared" si="44"/>
        <v/>
      </c>
      <c r="AK66" s="279" t="str">
        <f t="shared" si="44"/>
        <v>8,4 TZ/FR</v>
      </c>
      <c r="AL66" s="279" t="str">
        <f t="shared" si="44"/>
        <v/>
      </c>
      <c r="AM66" s="280" t="str">
        <f>ROUND(AM52,2)&amp;" TZ/FR"</f>
        <v>168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
      </c>
      <c r="I68" s="279" t="str">
        <f t="shared" ref="I68:AL68" si="46">IF(OR(I55="",I55=0),"","FREI")</f>
        <v>FREI</v>
      </c>
      <c r="J68" s="279" t="str">
        <f t="shared" si="46"/>
        <v>FREI</v>
      </c>
      <c r="K68" s="279" t="str">
        <f t="shared" si="46"/>
        <v>FREI</v>
      </c>
      <c r="L68" s="279" t="str">
        <f t="shared" si="46"/>
        <v>FREI</v>
      </c>
      <c r="M68" s="279" t="str">
        <f t="shared" si="46"/>
        <v>FREI</v>
      </c>
      <c r="N68" s="279" t="str">
        <f t="shared" si="46"/>
        <v/>
      </c>
      <c r="O68" s="279" t="str">
        <f t="shared" si="46"/>
        <v/>
      </c>
      <c r="P68" s="279" t="str">
        <f t="shared" si="46"/>
        <v/>
      </c>
      <c r="Q68" s="279" t="str">
        <f t="shared" si="46"/>
        <v>FREI</v>
      </c>
      <c r="R68" s="279" t="str">
        <f t="shared" si="46"/>
        <v>FREI</v>
      </c>
      <c r="S68" s="279" t="str">
        <f t="shared" si="46"/>
        <v>FREI</v>
      </c>
      <c r="T68" s="279" t="str">
        <f t="shared" si="46"/>
        <v>FREI</v>
      </c>
      <c r="U68" s="279" t="str">
        <f t="shared" si="46"/>
        <v/>
      </c>
      <c r="V68" s="279" t="str">
        <f t="shared" si="46"/>
        <v/>
      </c>
      <c r="W68" s="279" t="str">
        <f t="shared" si="46"/>
        <v>FREI</v>
      </c>
      <c r="X68" s="279" t="str">
        <f t="shared" si="46"/>
        <v>FREI</v>
      </c>
      <c r="Y68" s="279" t="str">
        <f t="shared" si="46"/>
        <v>FREI</v>
      </c>
      <c r="Z68" s="279" t="str">
        <f t="shared" si="46"/>
        <v>FREI</v>
      </c>
      <c r="AA68" s="279" t="str">
        <f t="shared" si="46"/>
        <v>FREI</v>
      </c>
      <c r="AB68" s="279" t="str">
        <f t="shared" si="46"/>
        <v/>
      </c>
      <c r="AC68" s="279" t="str">
        <f t="shared" si="46"/>
        <v/>
      </c>
      <c r="AD68" s="279" t="str">
        <f t="shared" si="46"/>
        <v>FREI</v>
      </c>
      <c r="AE68" s="279" t="str">
        <f t="shared" si="46"/>
        <v>FREI</v>
      </c>
      <c r="AF68" s="279" t="str">
        <f t="shared" si="46"/>
        <v>FREI</v>
      </c>
      <c r="AG68" s="279" t="str">
        <f t="shared" si="46"/>
        <v>FREI</v>
      </c>
      <c r="AH68" s="279" t="str">
        <f t="shared" si="46"/>
        <v>FREI</v>
      </c>
      <c r="AI68" s="279" t="str">
        <f t="shared" si="46"/>
        <v/>
      </c>
      <c r="AJ68" s="279" t="str">
        <f t="shared" si="46"/>
        <v/>
      </c>
      <c r="AK68" s="279" t="str">
        <f t="shared" si="46"/>
        <v>FREI</v>
      </c>
      <c r="AL68" s="279" t="str">
        <f t="shared" si="46"/>
        <v/>
      </c>
      <c r="AM68" s="280"/>
      <c r="AN68" s="272"/>
    </row>
    <row r="69" spans="2:40" ht="12.75" hidden="1" customHeight="1" x14ac:dyDescent="0.2">
      <c r="B69" s="256"/>
      <c r="C69" s="257"/>
      <c r="D69" s="250"/>
      <c r="E69" s="250"/>
      <c r="F69" s="281"/>
      <c r="G69" s="282" t="s">
        <v>132</v>
      </c>
      <c r="H69" s="283" t="str">
        <f t="shared" ref="H69:AL69" si="47">_xlfn.TEXTJOIN(";",TRUE,H56,H57,H58,H59,H60,H61,H62,H63,H64,H68)</f>
        <v/>
      </c>
      <c r="I69" s="283" t="str">
        <f t="shared" si="47"/>
        <v>FREI</v>
      </c>
      <c r="J69" s="283" t="str">
        <f t="shared" si="47"/>
        <v>FREI</v>
      </c>
      <c r="K69" s="283" t="str">
        <f t="shared" si="47"/>
        <v>FREI</v>
      </c>
      <c r="L69" s="283" t="str">
        <f>_xlfn.TEXTJOIN(";",TRUE,L56,L57,L58,L59,L60,L61,L62,L63,L64,L68)</f>
        <v>FREI</v>
      </c>
      <c r="M69" s="283" t="str">
        <f t="shared" si="47"/>
        <v>FREI</v>
      </c>
      <c r="N69" s="283" t="str">
        <f t="shared" si="47"/>
        <v/>
      </c>
      <c r="O69" s="283" t="str">
        <f t="shared" si="47"/>
        <v/>
      </c>
      <c r="P69" s="283" t="str">
        <f t="shared" si="47"/>
        <v/>
      </c>
      <c r="Q69" s="283" t="str">
        <f t="shared" si="47"/>
        <v>FREI</v>
      </c>
      <c r="R69" s="283" t="str">
        <f t="shared" si="47"/>
        <v>FREI</v>
      </c>
      <c r="S69" s="283" t="str">
        <f t="shared" si="47"/>
        <v>FREI</v>
      </c>
      <c r="T69" s="283" t="str">
        <f t="shared" si="47"/>
        <v>FREI</v>
      </c>
      <c r="U69" s="283" t="str">
        <f t="shared" si="47"/>
        <v/>
      </c>
      <c r="V69" s="283" t="str">
        <f t="shared" si="47"/>
        <v/>
      </c>
      <c r="W69" s="283" t="str">
        <f t="shared" si="47"/>
        <v>FREI</v>
      </c>
      <c r="X69" s="283" t="str">
        <f t="shared" si="47"/>
        <v>FREI</v>
      </c>
      <c r="Y69" s="283" t="str">
        <f t="shared" si="47"/>
        <v>FREI</v>
      </c>
      <c r="Z69" s="283" t="str">
        <f t="shared" si="47"/>
        <v>FREI</v>
      </c>
      <c r="AA69" s="283" t="str">
        <f t="shared" si="47"/>
        <v>FREI</v>
      </c>
      <c r="AB69" s="283" t="str">
        <f t="shared" si="47"/>
        <v/>
      </c>
      <c r="AC69" s="283" t="str">
        <f t="shared" si="47"/>
        <v/>
      </c>
      <c r="AD69" s="283" t="str">
        <f t="shared" si="47"/>
        <v>FREI</v>
      </c>
      <c r="AE69" s="283" t="str">
        <f t="shared" si="47"/>
        <v>FREI</v>
      </c>
      <c r="AF69" s="283" t="str">
        <f t="shared" si="47"/>
        <v>FREI</v>
      </c>
      <c r="AG69" s="283" t="str">
        <f t="shared" si="47"/>
        <v>FREI</v>
      </c>
      <c r="AH69" s="283" t="str">
        <f t="shared" si="47"/>
        <v>FREI</v>
      </c>
      <c r="AI69" s="283" t="str">
        <f t="shared" si="47"/>
        <v/>
      </c>
      <c r="AJ69" s="283" t="str">
        <f t="shared" si="47"/>
        <v/>
      </c>
      <c r="AK69" s="283" t="str">
        <f t="shared" si="47"/>
        <v>FREI</v>
      </c>
      <c r="AL69" s="283" t="str">
        <f t="shared" si="47"/>
        <v/>
      </c>
      <c r="AM69" s="280"/>
      <c r="AN69" s="272"/>
    </row>
    <row r="70" spans="2:40" ht="12.75" hidden="1" customHeight="1" x14ac:dyDescent="0.2">
      <c r="B70" s="256"/>
      <c r="C70" s="257"/>
      <c r="D70" s="250"/>
      <c r="E70" s="250"/>
      <c r="F70" s="281"/>
      <c r="G70" s="278" t="s">
        <v>158</v>
      </c>
      <c r="H70" s="284" cm="1">
        <f t="array" ref="H70">IF(ISERROR(_xlfn.TEXTSPLIT(H69,,";",TRUE)),0,_xlfn.TEXTSPLIT(H69,,";",TRUE))</f>
        <v>0</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cm="1">
        <f t="array" ref="N70">IF(ISERROR(_xlfn.TEXTSPLIT(N69,,";",TRUE)),0,_xlfn.TEXTSPLIT(N69,,";",TRUE))</f>
        <v>0</v>
      </c>
      <c r="O70" s="284" cm="1">
        <f t="array" ref="O70">IF(ISERROR(_xlfn.TEXTSPLIT(O69,,";",TRUE)),0,_xlfn.TEXTSPLIT(O69,,";",TRUE))</f>
        <v>0</v>
      </c>
      <c r="P70" s="284" cm="1">
        <f t="array" ref="P70">IF(ISERROR(_xlfn.TEXTSPLIT(P69,,";",TRUE)),0,_xlfn.TEXTSPLIT(P69,,";",TRUE))</f>
        <v>0</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cm="1">
        <f t="array" ref="U70">IF(ISERROR(_xlfn.TEXTSPLIT(U69,,";",TRUE)),0,_xlfn.TEXTSPLIT(U69,,";",TRUE))</f>
        <v>0</v>
      </c>
      <c r="V70" s="284" cm="1">
        <f t="array" ref="V70">IF(ISERROR(_xlfn.TEXTSPLIT(V69,,";",TRUE)),0,_xlfn.TEXTSPLIT(V69,,";",TRUE))</f>
        <v>0</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cm="1">
        <f t="array" ref="AB70">IF(ISERROR(_xlfn.TEXTSPLIT(AB69,,";",TRUE)),0,_xlfn.TEXTSPLIT(AB69,,";",TRUE))</f>
        <v>0</v>
      </c>
      <c r="AC70" s="284" cm="1">
        <f t="array" ref="AC70">IF(ISERROR(_xlfn.TEXTSPLIT(AC69,,";",TRUE)),0,_xlfn.TEXTSPLIT(AC69,,";",TRUE))</f>
        <v>0</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cm="1">
        <f t="array" ref="AI70">IF(ISERROR(_xlfn.TEXTSPLIT(AI69,,";",TRUE)),0,_xlfn.TEXTSPLIT(AI69,,";",TRUE))</f>
        <v>0</v>
      </c>
      <c r="AJ70" s="284" cm="1">
        <f t="array" ref="AJ70">IF(ISERROR(_xlfn.TEXTSPLIT(AJ69,,";",TRUE)),0,_xlfn.TEXTSPLIT(AJ69,,";",TRUE))</f>
        <v>0</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-692.16000000000167</v>
      </c>
      <c r="I74" s="289">
        <f t="shared" ref="I74:AL74" si="49">H74+I26-I14</f>
        <v>-698.8800000000017</v>
      </c>
      <c r="J74" s="289">
        <f t="shared" si="49"/>
        <v>-705.60000000000173</v>
      </c>
      <c r="K74" s="289">
        <f t="shared" si="49"/>
        <v>-712.32000000000176</v>
      </c>
      <c r="L74" s="289">
        <f t="shared" si="49"/>
        <v>-719.04000000000178</v>
      </c>
      <c r="M74" s="289">
        <f t="shared" si="49"/>
        <v>-725.76000000000181</v>
      </c>
      <c r="N74" s="289">
        <f t="shared" si="49"/>
        <v>-725.76000000000181</v>
      </c>
      <c r="O74" s="289">
        <f t="shared" si="49"/>
        <v>-725.76000000000181</v>
      </c>
      <c r="P74" s="289">
        <f t="shared" si="49"/>
        <v>-725.76000000000181</v>
      </c>
      <c r="Q74" s="289">
        <f t="shared" si="49"/>
        <v>-732.48000000000184</v>
      </c>
      <c r="R74" s="289">
        <f t="shared" si="49"/>
        <v>-739.20000000000186</v>
      </c>
      <c r="S74" s="289">
        <f t="shared" si="49"/>
        <v>-745.92000000000189</v>
      </c>
      <c r="T74" s="289">
        <f t="shared" si="49"/>
        <v>-752.64000000000192</v>
      </c>
      <c r="U74" s="289">
        <f t="shared" si="49"/>
        <v>-752.64000000000192</v>
      </c>
      <c r="V74" s="289">
        <f t="shared" si="49"/>
        <v>-752.64000000000192</v>
      </c>
      <c r="W74" s="289">
        <f t="shared" si="49"/>
        <v>-759.36000000000195</v>
      </c>
      <c r="X74" s="289">
        <f t="shared" si="49"/>
        <v>-766.08000000000197</v>
      </c>
      <c r="Y74" s="289">
        <f t="shared" si="49"/>
        <v>-772.800000000002</v>
      </c>
      <c r="Z74" s="289">
        <f t="shared" si="49"/>
        <v>-779.52000000000203</v>
      </c>
      <c r="AA74" s="289">
        <f t="shared" si="49"/>
        <v>-786.24000000000206</v>
      </c>
      <c r="AB74" s="289">
        <f t="shared" si="49"/>
        <v>-786.24000000000206</v>
      </c>
      <c r="AC74" s="289">
        <f t="shared" si="49"/>
        <v>-786.24000000000206</v>
      </c>
      <c r="AD74" s="289">
        <f t="shared" si="49"/>
        <v>-792.96000000000208</v>
      </c>
      <c r="AE74" s="289">
        <f t="shared" si="49"/>
        <v>-799.68000000000211</v>
      </c>
      <c r="AF74" s="289">
        <f t="shared" si="49"/>
        <v>-806.40000000000214</v>
      </c>
      <c r="AG74" s="289">
        <f t="shared" si="49"/>
        <v>-813.12000000000216</v>
      </c>
      <c r="AH74" s="289">
        <f t="shared" si="49"/>
        <v>-819.84000000000219</v>
      </c>
      <c r="AI74" s="289">
        <f t="shared" si="49"/>
        <v>-819.84000000000219</v>
      </c>
      <c r="AJ74" s="289">
        <f t="shared" si="49"/>
        <v>-819.84000000000219</v>
      </c>
      <c r="AK74" s="289">
        <f t="shared" si="49"/>
        <v>-826.56000000000222</v>
      </c>
      <c r="AL74" s="289">
        <f t="shared" si="49"/>
        <v>-826.56000000000222</v>
      </c>
      <c r="AM74" s="290">
        <f>AL74</f>
        <v>-826.56000000000222</v>
      </c>
    </row>
    <row r="75" spans="2:40" ht="12.75" customHeight="1" x14ac:dyDescent="0.2">
      <c r="B75" s="250"/>
      <c r="C75" s="11"/>
      <c r="D75" s="250"/>
      <c r="E75" s="250"/>
      <c r="F75" s="574"/>
      <c r="G75" s="203" t="s">
        <v>71</v>
      </c>
      <c r="H75" s="291">
        <f>H74/TaginSt</f>
        <v>-82.40000000000019</v>
      </c>
      <c r="I75" s="247">
        <f t="shared" ref="I75:AL75" si="50">I74/TaginSt</f>
        <v>-83.200000000000202</v>
      </c>
      <c r="J75" s="247">
        <f t="shared" si="50"/>
        <v>-84.000000000000199</v>
      </c>
      <c r="K75" s="247">
        <f t="shared" si="50"/>
        <v>-84.80000000000021</v>
      </c>
      <c r="L75" s="247">
        <f t="shared" si="50"/>
        <v>-85.600000000000207</v>
      </c>
      <c r="M75" s="247">
        <f t="shared" si="50"/>
        <v>-86.400000000000219</v>
      </c>
      <c r="N75" s="247">
        <f t="shared" si="50"/>
        <v>-86.400000000000219</v>
      </c>
      <c r="O75" s="247">
        <f t="shared" si="50"/>
        <v>-86.400000000000219</v>
      </c>
      <c r="P75" s="247">
        <f t="shared" si="50"/>
        <v>-86.400000000000219</v>
      </c>
      <c r="Q75" s="247">
        <f t="shared" si="50"/>
        <v>-87.200000000000216</v>
      </c>
      <c r="R75" s="247">
        <f t="shared" si="50"/>
        <v>-88.000000000000213</v>
      </c>
      <c r="S75" s="247">
        <f t="shared" si="50"/>
        <v>-88.800000000000225</v>
      </c>
      <c r="T75" s="247">
        <f t="shared" si="50"/>
        <v>-89.600000000000222</v>
      </c>
      <c r="U75" s="247">
        <f t="shared" si="50"/>
        <v>-89.600000000000222</v>
      </c>
      <c r="V75" s="247">
        <f t="shared" si="50"/>
        <v>-89.600000000000222</v>
      </c>
      <c r="W75" s="247">
        <f t="shared" si="50"/>
        <v>-90.400000000000233</v>
      </c>
      <c r="X75" s="247">
        <f t="shared" si="50"/>
        <v>-91.20000000000023</v>
      </c>
      <c r="Y75" s="247">
        <f t="shared" si="50"/>
        <v>-92.000000000000227</v>
      </c>
      <c r="Z75" s="247">
        <f t="shared" si="50"/>
        <v>-92.800000000000239</v>
      </c>
      <c r="AA75" s="247">
        <f t="shared" si="50"/>
        <v>-93.600000000000236</v>
      </c>
      <c r="AB75" s="247">
        <f t="shared" si="50"/>
        <v>-93.600000000000236</v>
      </c>
      <c r="AC75" s="247">
        <f t="shared" si="50"/>
        <v>-93.600000000000236</v>
      </c>
      <c r="AD75" s="247">
        <f t="shared" si="50"/>
        <v>-94.400000000000247</v>
      </c>
      <c r="AE75" s="247">
        <f t="shared" si="50"/>
        <v>-95.200000000000244</v>
      </c>
      <c r="AF75" s="247">
        <f t="shared" si="50"/>
        <v>-96.000000000000256</v>
      </c>
      <c r="AG75" s="247">
        <f t="shared" si="50"/>
        <v>-96.800000000000253</v>
      </c>
      <c r="AH75" s="247">
        <f t="shared" si="50"/>
        <v>-97.60000000000025</v>
      </c>
      <c r="AI75" s="247">
        <f t="shared" si="50"/>
        <v>-97.60000000000025</v>
      </c>
      <c r="AJ75" s="247">
        <f t="shared" si="50"/>
        <v>-97.60000000000025</v>
      </c>
      <c r="AK75" s="247">
        <f t="shared" si="50"/>
        <v>-98.400000000000261</v>
      </c>
      <c r="AL75" s="247">
        <f t="shared" si="50"/>
        <v>-98.400000000000261</v>
      </c>
      <c r="AM75" s="292">
        <f>AL75</f>
        <v>-98.400000000000261</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t="s">
        <v>92</v>
      </c>
      <c r="P77" s="5" t="s">
        <v>386</v>
      </c>
      <c r="Q77" s="5"/>
      <c r="R77" s="5"/>
      <c r="S77" s="5"/>
      <c r="T77" s="5"/>
      <c r="U77" s="5"/>
      <c r="V77" s="5"/>
      <c r="W77" s="5"/>
      <c r="X77" s="5"/>
      <c r="Y77" s="5"/>
      <c r="Z77" s="5"/>
      <c r="AA77" s="5"/>
      <c r="AB77" s="5"/>
      <c r="AC77" s="5"/>
      <c r="AD77" s="5"/>
      <c r="AE77" s="5"/>
      <c r="AF77" s="5"/>
      <c r="AG77" s="5"/>
      <c r="AH77" s="5"/>
      <c r="AI77" s="5"/>
      <c r="AJ77" s="5"/>
      <c r="AK77" s="5"/>
      <c r="AL77" s="29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297"/>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297"/>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297"/>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297"/>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297"/>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297"/>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297"/>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297"/>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297"/>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297"/>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297"/>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297"/>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302"/>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Ak8wGHVrf9l4KqXSSlUv0z9K7kWTkSKWhazXhtUio6Rsm4shETvKn8m48ejqjF2644vL4X35sej7ji7j8bvZVw==" saltValue="1PXWpAPNr5hBCHH33srG1g==" spinCount="100000" sheet="1" objects="1" scenarios="1"/>
  <mergeCells count="29">
    <mergeCell ref="AO42:AO53"/>
    <mergeCell ref="F42:F55"/>
    <mergeCell ref="F78:G78"/>
    <mergeCell ref="F14:F15"/>
    <mergeCell ref="B17:B18"/>
    <mergeCell ref="C17:C18"/>
    <mergeCell ref="F26:F28"/>
    <mergeCell ref="F30:F38"/>
    <mergeCell ref="F56:F68"/>
    <mergeCell ref="F74:F75"/>
    <mergeCell ref="F17:F24"/>
    <mergeCell ref="F41:G41"/>
    <mergeCell ref="D79:E91"/>
    <mergeCell ref="F79:G79"/>
    <mergeCell ref="F80:G80"/>
    <mergeCell ref="F81:G81"/>
    <mergeCell ref="F82:G82"/>
    <mergeCell ref="F83:G83"/>
    <mergeCell ref="F84:G84"/>
    <mergeCell ref="F85:G85"/>
    <mergeCell ref="F86:G86"/>
    <mergeCell ref="F87:G87"/>
    <mergeCell ref="F94:G94"/>
    <mergeCell ref="F88:G88"/>
    <mergeCell ref="F89:G89"/>
    <mergeCell ref="F90:G90"/>
    <mergeCell ref="F91:G91"/>
    <mergeCell ref="F92:G92"/>
    <mergeCell ref="F93:G93"/>
  </mergeCells>
  <conditionalFormatting sqref="H11:AL12">
    <cfRule type="expression" dxfId="89" priority="10">
      <formula>OR(WEEKDAY(H$12,2)=7,IF(ISERROR(VLOOKUP(H$12,Feiertagsanspruch,1,FALSE)),0,VLOOKUP(H$12,Feiertagsanspruch,1,FALSE)))</formula>
    </cfRule>
  </conditionalFormatting>
  <conditionalFormatting sqref="H17:AL24">
    <cfRule type="expression" dxfId="88" priority="11">
      <formula>OR(WEEKDAY(H$12,2)=7,IF(ISERROR(VLOOKUP(H$12,Feiertagsanspruch,1,FALSE)),0,VLOOKUP(H$12,Feiertagsanspruch,1,FALSE)))</formula>
    </cfRule>
  </conditionalFormatting>
  <conditionalFormatting sqref="H30:AL32 H35:AL38">
    <cfRule type="expression" dxfId="87" priority="4">
      <formula>H$14=0</formula>
    </cfRule>
  </conditionalFormatting>
  <conditionalFormatting sqref="H33:AL34">
    <cfRule type="expression" dxfId="86" priority="1">
      <formula>H$9=0</formula>
    </cfRule>
  </conditionalFormatting>
  <conditionalFormatting sqref="H74:AL74">
    <cfRule type="cellIs" dxfId="85" priority="8" stopIfTrue="1" operator="lessThan">
      <formula>-20</formula>
    </cfRule>
    <cfRule type="cellIs" dxfId="84" priority="9" stopIfTrue="1" operator="greaterThan">
      <formula>50</formula>
    </cfRule>
  </conditionalFormatting>
  <conditionalFormatting sqref="H75:AL75">
    <cfRule type="cellIs" dxfId="83" priority="6" stopIfTrue="1" operator="lessThan">
      <formula>-2.38095238095238</formula>
    </cfRule>
    <cfRule type="cellIs" dxfId="82" priority="7" stopIfTrue="1" operator="greaterThan">
      <formula>5.95238095238095</formula>
    </cfRule>
  </conditionalFormatting>
  <dataValidations count="13">
    <dataValidation allowBlank="1" sqref="H29:AL29" xr:uid="{66081A98-3FAB-481D-9366-0881267877CC}"/>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D95ED8D9-F319-4590-AE9D-58899A139397}">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92320DA9-90B2-4CE0-84A5-8E39DEDCD469}">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77FAFAA9-AA88-4D7E-93B7-CFBBA31AB50A}">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093D1D7B-9B76-4355-A85A-1AE8A23C1BA1}">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07958F4F-605C-4B5A-B9AA-4FCB1B25A3C5}">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98AD3A8A-FC94-4358-A9D6-602D20D51F80}">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24903D4B-976E-4F42-9C70-A925C31AB8F0}">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8620DE10-8C52-4A02-A3F6-2D2659C664E5}">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DEB95CB4-2C3A-4DCA-AAE2-FD83B6790CFF}">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4D921E18-F4ED-4D90-ADE6-D9EB8B4C63B4}">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B116DCC5-D698-4814-9236-9C2299EE3C73}">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B3087AEB-D13B-4814-B055-2AA71353426B}">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09CECBA5-FFA8-4553-8203-D5711F53D5AB}">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37D7-E127-4142-8932-FB22A97D402D}">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171</v>
      </c>
      <c r="H3" s="171">
        <f t="shared" ref="H3:AI3" si="2">IF(OR(WEEKDAY(H$12,2)=7,H1&gt;0),0,TaginSt-H14-H4)</f>
        <v>0</v>
      </c>
      <c r="I3" s="171">
        <f t="shared" si="2"/>
        <v>0</v>
      </c>
      <c r="J3" s="171">
        <f t="shared" si="2"/>
        <v>0</v>
      </c>
      <c r="K3" s="171">
        <f t="shared" si="2"/>
        <v>0</v>
      </c>
      <c r="L3" s="171">
        <f t="shared" si="2"/>
        <v>8.4</v>
      </c>
      <c r="M3" s="171">
        <f t="shared" si="2"/>
        <v>0</v>
      </c>
      <c r="N3" s="171">
        <f t="shared" si="2"/>
        <v>0</v>
      </c>
      <c r="O3" s="171">
        <f t="shared" si="2"/>
        <v>0</v>
      </c>
      <c r="P3" s="171">
        <f t="shared" si="2"/>
        <v>0</v>
      </c>
      <c r="Q3" s="171">
        <f t="shared" si="2"/>
        <v>0</v>
      </c>
      <c r="R3" s="171">
        <f t="shared" si="2"/>
        <v>0</v>
      </c>
      <c r="S3" s="171">
        <f t="shared" si="2"/>
        <v>8.4</v>
      </c>
      <c r="T3" s="171">
        <f t="shared" si="2"/>
        <v>0</v>
      </c>
      <c r="U3" s="171">
        <f t="shared" si="2"/>
        <v>0</v>
      </c>
      <c r="V3" s="171">
        <f t="shared" si="2"/>
        <v>0</v>
      </c>
      <c r="W3" s="171">
        <f t="shared" si="2"/>
        <v>0</v>
      </c>
      <c r="X3" s="171">
        <f t="shared" si="2"/>
        <v>0</v>
      </c>
      <c r="Y3" s="171">
        <f t="shared" si="2"/>
        <v>0</v>
      </c>
      <c r="Z3" s="171">
        <f t="shared" si="2"/>
        <v>8.4</v>
      </c>
      <c r="AA3" s="171">
        <f t="shared" si="2"/>
        <v>0</v>
      </c>
      <c r="AB3" s="171">
        <f t="shared" si="2"/>
        <v>0</v>
      </c>
      <c r="AC3" s="171">
        <f t="shared" si="2"/>
        <v>0</v>
      </c>
      <c r="AD3" s="171">
        <f t="shared" si="2"/>
        <v>0</v>
      </c>
      <c r="AE3" s="171">
        <f t="shared" si="2"/>
        <v>0</v>
      </c>
      <c r="AF3" s="171">
        <f t="shared" si="2"/>
        <v>0</v>
      </c>
      <c r="AG3" s="171">
        <f t="shared" si="2"/>
        <v>8.4</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1.6800000000000006</v>
      </c>
      <c r="I4" s="170">
        <f t="shared" si="3"/>
        <v>1.6800000000000006</v>
      </c>
      <c r="J4" s="170">
        <f t="shared" si="3"/>
        <v>1.6800000000000006</v>
      </c>
      <c r="K4" s="170">
        <f t="shared" si="3"/>
        <v>1.6800000000000006</v>
      </c>
      <c r="L4" s="170">
        <f t="shared" si="3"/>
        <v>0</v>
      </c>
      <c r="M4" s="170">
        <f t="shared" si="3"/>
        <v>0</v>
      </c>
      <c r="N4" s="170">
        <f t="shared" si="3"/>
        <v>1.6800000000000006</v>
      </c>
      <c r="O4" s="170">
        <f t="shared" si="3"/>
        <v>1.6800000000000006</v>
      </c>
      <c r="P4" s="170">
        <f t="shared" si="3"/>
        <v>1.6800000000000006</v>
      </c>
      <c r="Q4" s="170">
        <f t="shared" si="3"/>
        <v>1.6800000000000006</v>
      </c>
      <c r="R4" s="170">
        <f t="shared" si="3"/>
        <v>1.6800000000000006</v>
      </c>
      <c r="S4" s="170">
        <f t="shared" si="3"/>
        <v>0</v>
      </c>
      <c r="T4" s="170">
        <f t="shared" si="3"/>
        <v>0</v>
      </c>
      <c r="U4" s="170">
        <f t="shared" si="3"/>
        <v>1.6800000000000006</v>
      </c>
      <c r="V4" s="170">
        <f t="shared" si="3"/>
        <v>1.6800000000000006</v>
      </c>
      <c r="W4" s="170">
        <f t="shared" si="3"/>
        <v>1.6800000000000006</v>
      </c>
      <c r="X4" s="170">
        <f t="shared" si="3"/>
        <v>1.6800000000000006</v>
      </c>
      <c r="Y4" s="170">
        <f t="shared" si="3"/>
        <v>1.6800000000000006</v>
      </c>
      <c r="Z4" s="170">
        <f t="shared" si="3"/>
        <v>0</v>
      </c>
      <c r="AA4" s="170">
        <f t="shared" si="3"/>
        <v>0</v>
      </c>
      <c r="AB4" s="170">
        <f t="shared" si="3"/>
        <v>1.6800000000000006</v>
      </c>
      <c r="AC4" s="170">
        <f t="shared" si="3"/>
        <v>1.6800000000000006</v>
      </c>
      <c r="AD4" s="170">
        <f t="shared" si="3"/>
        <v>1.6800000000000006</v>
      </c>
      <c r="AE4" s="170">
        <f t="shared" si="3"/>
        <v>1.6800000000000006</v>
      </c>
      <c r="AF4" s="170">
        <f t="shared" si="3"/>
        <v>1.6800000000000006</v>
      </c>
      <c r="AG4" s="170">
        <f t="shared" si="3"/>
        <v>0</v>
      </c>
      <c r="AH4" s="170">
        <f t="shared" si="3"/>
        <v>0</v>
      </c>
      <c r="AI4" s="170">
        <f t="shared" si="3"/>
        <v>1.6800000000000006</v>
      </c>
      <c r="AJ4" s="170">
        <f t="shared" si="3"/>
        <v>1.6800000000000006</v>
      </c>
      <c r="AK4" s="170">
        <f t="shared" si="3"/>
        <v>1.6800000000000006</v>
      </c>
      <c r="AL4" s="170">
        <f t="shared" si="3"/>
        <v>1.6800000000000006</v>
      </c>
      <c r="AM4" s="170">
        <f>SUM(H4:AL4)</f>
        <v>38.64</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1.25</v>
      </c>
      <c r="AM5" s="170"/>
    </row>
    <row r="6" spans="2:39" hidden="1" x14ac:dyDescent="0.2">
      <c r="D6" s="166"/>
      <c r="E6" s="166"/>
      <c r="F6" s="172" t="s">
        <v>7</v>
      </c>
      <c r="G6" s="173" t="s">
        <v>107</v>
      </c>
      <c r="H6" s="174">
        <f t="shared" ref="H6:AI6" si="5">IF(AND(H7=1,H9&gt;0,WEEKDAY(H12,2)&lt;6),(TaginSt-H1)/TaginSt,0)</f>
        <v>1</v>
      </c>
      <c r="I6" s="174">
        <f t="shared" si="5"/>
        <v>1</v>
      </c>
      <c r="J6" s="174">
        <f t="shared" si="5"/>
        <v>1</v>
      </c>
      <c r="K6" s="174">
        <f t="shared" si="5"/>
        <v>1</v>
      </c>
      <c r="L6" s="174">
        <f t="shared" si="5"/>
        <v>0</v>
      </c>
      <c r="M6" s="174">
        <f t="shared" si="5"/>
        <v>0</v>
      </c>
      <c r="N6" s="174">
        <f t="shared" si="5"/>
        <v>1</v>
      </c>
      <c r="O6" s="174">
        <f t="shared" si="5"/>
        <v>1</v>
      </c>
      <c r="P6" s="174">
        <f t="shared" si="5"/>
        <v>1</v>
      </c>
      <c r="Q6" s="174">
        <f t="shared" si="5"/>
        <v>1</v>
      </c>
      <c r="R6" s="174">
        <f t="shared" si="5"/>
        <v>1</v>
      </c>
      <c r="S6" s="174">
        <f t="shared" si="5"/>
        <v>0</v>
      </c>
      <c r="T6" s="174">
        <f t="shared" si="5"/>
        <v>0</v>
      </c>
      <c r="U6" s="174">
        <f t="shared" si="5"/>
        <v>1</v>
      </c>
      <c r="V6" s="174">
        <f t="shared" si="5"/>
        <v>1</v>
      </c>
      <c r="W6" s="174">
        <f t="shared" si="5"/>
        <v>1</v>
      </c>
      <c r="X6" s="174">
        <f t="shared" si="5"/>
        <v>1</v>
      </c>
      <c r="Y6" s="174">
        <f t="shared" si="5"/>
        <v>1</v>
      </c>
      <c r="Z6" s="174">
        <f t="shared" si="5"/>
        <v>0</v>
      </c>
      <c r="AA6" s="174">
        <f t="shared" si="5"/>
        <v>0</v>
      </c>
      <c r="AB6" s="174">
        <f t="shared" si="5"/>
        <v>1</v>
      </c>
      <c r="AC6" s="174">
        <f t="shared" si="5"/>
        <v>1</v>
      </c>
      <c r="AD6" s="174">
        <f t="shared" si="5"/>
        <v>1</v>
      </c>
      <c r="AE6" s="174">
        <f t="shared" si="5"/>
        <v>1</v>
      </c>
      <c r="AF6" s="174">
        <f t="shared" si="5"/>
        <v>1</v>
      </c>
      <c r="AG6" s="174">
        <f t="shared" si="5"/>
        <v>0</v>
      </c>
      <c r="AH6" s="174">
        <f t="shared" si="5"/>
        <v>0</v>
      </c>
      <c r="AI6" s="174">
        <f t="shared" si="5"/>
        <v>1</v>
      </c>
      <c r="AJ6" s="174">
        <f>IFERROR(IF(AND(AJ7=1,AJ9&gt;0,WEEKDAY(AJ12,2)&lt;6),(TaginSt-AJ1)/TaginSt,0),0)</f>
        <v>1</v>
      </c>
      <c r="AK6" s="174">
        <f>IFERROR(IF(AND(AK7=1,AK9&gt;0,WEEKDAY(AK12,2)&lt;6),(TaginSt-AK1)/TaginSt,0),0)</f>
        <v>1</v>
      </c>
      <c r="AL6" s="174">
        <f>IFERROR(IF(AND(AL7=1,AL9&gt;0,WEEKDAY(AL12,2)&lt;6),(TaginSt-AL1)/TaginSt,0),0)</f>
        <v>1</v>
      </c>
      <c r="AM6" s="175"/>
    </row>
    <row r="7" spans="2:39" hidden="1" x14ac:dyDescent="0.2">
      <c r="F7" s="176">
        <v>7</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80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Juli</v>
      </c>
      <c r="C11" s="184">
        <f>Jahr</f>
        <v>2025</v>
      </c>
      <c r="D11" s="166"/>
      <c r="E11" s="166"/>
      <c r="F11" s="185"/>
      <c r="G11" s="186"/>
      <c r="H11" s="187" t="str">
        <f>TEXT(H12,"TTT")</f>
        <v>Di</v>
      </c>
      <c r="I11" s="188" t="str">
        <f>TEXT(I12,"TTT")</f>
        <v>Mi</v>
      </c>
      <c r="J11" s="188" t="str">
        <f t="shared" ref="J11:L11" si="8">TEXT(J12,"TTT")</f>
        <v>Do</v>
      </c>
      <c r="K11" s="188" t="str">
        <f t="shared" si="8"/>
        <v>Fr</v>
      </c>
      <c r="L11" s="188" t="str">
        <f t="shared" si="8"/>
        <v>Sa</v>
      </c>
      <c r="M11" s="188" t="str">
        <f>TEXT(M12,"TTT")</f>
        <v>So</v>
      </c>
      <c r="N11" s="188" t="str">
        <f t="shared" ref="N11:AL11" si="9">TEXT(N12,"TTT")</f>
        <v>Mo</v>
      </c>
      <c r="O11" s="188" t="str">
        <f t="shared" si="9"/>
        <v>Di</v>
      </c>
      <c r="P11" s="188" t="str">
        <f t="shared" si="9"/>
        <v>Mi</v>
      </c>
      <c r="Q11" s="188" t="str">
        <f t="shared" si="9"/>
        <v>Do</v>
      </c>
      <c r="R11" s="188" t="str">
        <f t="shared" si="9"/>
        <v>Fr</v>
      </c>
      <c r="S11" s="188" t="str">
        <f t="shared" si="9"/>
        <v>Sa</v>
      </c>
      <c r="T11" s="188" t="str">
        <f t="shared" si="9"/>
        <v>So</v>
      </c>
      <c r="U11" s="188" t="str">
        <f t="shared" si="9"/>
        <v>Mo</v>
      </c>
      <c r="V11" s="188" t="str">
        <f t="shared" si="9"/>
        <v>Di</v>
      </c>
      <c r="W11" s="188" t="str">
        <f t="shared" si="9"/>
        <v>Mi</v>
      </c>
      <c r="X11" s="188" t="str">
        <f t="shared" si="9"/>
        <v>Do</v>
      </c>
      <c r="Y11" s="188" t="str">
        <f t="shared" si="9"/>
        <v>Fr</v>
      </c>
      <c r="Z11" s="188" t="str">
        <f t="shared" si="9"/>
        <v>Sa</v>
      </c>
      <c r="AA11" s="188" t="str">
        <f t="shared" si="9"/>
        <v>So</v>
      </c>
      <c r="AB11" s="188" t="str">
        <f t="shared" si="9"/>
        <v>Mo</v>
      </c>
      <c r="AC11" s="188" t="str">
        <f t="shared" si="9"/>
        <v>Di</v>
      </c>
      <c r="AD11" s="188" t="str">
        <f t="shared" si="9"/>
        <v>Mi</v>
      </c>
      <c r="AE11" s="188" t="str">
        <f t="shared" si="9"/>
        <v>Do</v>
      </c>
      <c r="AF11" s="188" t="str">
        <f t="shared" si="9"/>
        <v>Fr</v>
      </c>
      <c r="AG11" s="188" t="str">
        <f t="shared" si="9"/>
        <v>Sa</v>
      </c>
      <c r="AH11" s="188" t="str">
        <f t="shared" si="9"/>
        <v>So</v>
      </c>
      <c r="AI11" s="188" t="str">
        <f t="shared" si="9"/>
        <v>Mo</v>
      </c>
      <c r="AJ11" s="188" t="str">
        <f t="shared" si="9"/>
        <v>Di</v>
      </c>
      <c r="AK11" s="188" t="str">
        <f t="shared" si="9"/>
        <v>Mi</v>
      </c>
      <c r="AL11" s="188" t="str">
        <f t="shared" si="9"/>
        <v>Do</v>
      </c>
      <c r="AM11" s="188"/>
    </row>
    <row r="12" spans="2:39" ht="12.75" customHeight="1" thickBot="1" x14ac:dyDescent="0.25">
      <c r="B12" s="189" t="str">
        <f>Pfarrer</f>
        <v>Heinz Muster</v>
      </c>
      <c r="C12" s="190"/>
      <c r="D12" s="191"/>
      <c r="E12" s="191"/>
      <c r="F12" s="185"/>
      <c r="G12" s="192" t="s">
        <v>2</v>
      </c>
      <c r="H12" s="193">
        <f>DATE(C11,F7,1)</f>
        <v>44377</v>
      </c>
      <c r="I12" s="194">
        <f>DATE(C11,F7,2)</f>
        <v>44378</v>
      </c>
      <c r="J12" s="194">
        <f>DATE(C11,F7,3)</f>
        <v>44379</v>
      </c>
      <c r="K12" s="194">
        <f>DATE(C11,F7,4)</f>
        <v>44380</v>
      </c>
      <c r="L12" s="194">
        <f>DATE(C11,F7,5)</f>
        <v>44381</v>
      </c>
      <c r="M12" s="194">
        <f>DATE(C11,F7,6)</f>
        <v>44382</v>
      </c>
      <c r="N12" s="194">
        <f>DATE(C11,F7,7)</f>
        <v>44383</v>
      </c>
      <c r="O12" s="194">
        <f>DATE(C11,F7,8)</f>
        <v>44384</v>
      </c>
      <c r="P12" s="194">
        <f>DATE(C11,F7,9)</f>
        <v>44385</v>
      </c>
      <c r="Q12" s="194">
        <f>DATE(C11,F7,10)</f>
        <v>44386</v>
      </c>
      <c r="R12" s="194">
        <f>DATE(C11,F7,11)</f>
        <v>44387</v>
      </c>
      <c r="S12" s="194">
        <f>DATE(C11,F7,12)</f>
        <v>44388</v>
      </c>
      <c r="T12" s="194">
        <f>DATE(C11,F7,13)</f>
        <v>44389</v>
      </c>
      <c r="U12" s="194">
        <f>DATE(C11,F7,14)</f>
        <v>44390</v>
      </c>
      <c r="V12" s="194">
        <f>DATE(C11,F7,15)</f>
        <v>44391</v>
      </c>
      <c r="W12" s="194">
        <f>DATE(C11,F7,16)</f>
        <v>44392</v>
      </c>
      <c r="X12" s="194">
        <f>DATE(C11,F7,17)</f>
        <v>44393</v>
      </c>
      <c r="Y12" s="194">
        <f>DATE(C11,F7,18)</f>
        <v>44394</v>
      </c>
      <c r="Z12" s="194">
        <f>DATE(C11,F7,19)</f>
        <v>44395</v>
      </c>
      <c r="AA12" s="194">
        <f>DATE(C11,F7,20)</f>
        <v>44396</v>
      </c>
      <c r="AB12" s="194">
        <f>DATE(C11,F7,21)</f>
        <v>44397</v>
      </c>
      <c r="AC12" s="194">
        <f>DATE(C11,F7,22)</f>
        <v>44398</v>
      </c>
      <c r="AD12" s="194">
        <f>DATE(C11,F7,23)</f>
        <v>44399</v>
      </c>
      <c r="AE12" s="194">
        <f>DATE(C11,F7,24)</f>
        <v>44400</v>
      </c>
      <c r="AF12" s="194">
        <f>DATE(C11,F7,25)</f>
        <v>44401</v>
      </c>
      <c r="AG12" s="194">
        <f>DATE(C11,F7,26)</f>
        <v>44402</v>
      </c>
      <c r="AH12" s="194">
        <f>DATE(C11,F7,27)</f>
        <v>44403</v>
      </c>
      <c r="AI12" s="194">
        <f>DATE(C11,F7,28)</f>
        <v>44404</v>
      </c>
      <c r="AJ12" s="194">
        <f>IFERROR(IF(MONTH(AI12+1)=MONTH($H$12),AI$12+1,""),"")</f>
        <v>44405</v>
      </c>
      <c r="AK12" s="194">
        <f>IFERROR(IF(MONTH(AJ12+1)=MONTH($H$12),AJ$12+1,""),"")</f>
        <v>44406</v>
      </c>
      <c r="AL12" s="194">
        <f>IFERROR(IF(MONTH(AK12+1)=MONTH($H$12),AK$12+1,""),"")</f>
        <v>44407</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6.72</v>
      </c>
      <c r="I14" s="204">
        <f t="shared" si="10"/>
        <v>6.72</v>
      </c>
      <c r="J14" s="204">
        <f t="shared" si="10"/>
        <v>6.72</v>
      </c>
      <c r="K14" s="204">
        <f t="shared" si="10"/>
        <v>6.72</v>
      </c>
      <c r="L14" s="204">
        <f t="shared" si="10"/>
        <v>0</v>
      </c>
      <c r="M14" s="204">
        <f t="shared" si="10"/>
        <v>0</v>
      </c>
      <c r="N14" s="204">
        <f t="shared" si="10"/>
        <v>6.72</v>
      </c>
      <c r="O14" s="204">
        <f t="shared" si="10"/>
        <v>6.72</v>
      </c>
      <c r="P14" s="204">
        <f t="shared" si="10"/>
        <v>6.72</v>
      </c>
      <c r="Q14" s="204">
        <f t="shared" si="10"/>
        <v>6.72</v>
      </c>
      <c r="R14" s="204">
        <f t="shared" si="10"/>
        <v>6.72</v>
      </c>
      <c r="S14" s="204">
        <f t="shared" si="10"/>
        <v>0</v>
      </c>
      <c r="T14" s="204">
        <f t="shared" si="10"/>
        <v>0</v>
      </c>
      <c r="U14" s="204">
        <f t="shared" si="10"/>
        <v>6.72</v>
      </c>
      <c r="V14" s="204">
        <f t="shared" si="10"/>
        <v>6.72</v>
      </c>
      <c r="W14" s="204">
        <f t="shared" si="10"/>
        <v>6.72</v>
      </c>
      <c r="X14" s="204">
        <f t="shared" si="10"/>
        <v>6.72</v>
      </c>
      <c r="Y14" s="204">
        <f t="shared" si="10"/>
        <v>6.72</v>
      </c>
      <c r="Z14" s="204">
        <f t="shared" si="10"/>
        <v>0</v>
      </c>
      <c r="AA14" s="204">
        <f t="shared" si="10"/>
        <v>0</v>
      </c>
      <c r="AB14" s="204">
        <f t="shared" si="10"/>
        <v>6.72</v>
      </c>
      <c r="AC14" s="204">
        <f t="shared" si="10"/>
        <v>6.72</v>
      </c>
      <c r="AD14" s="204">
        <f t="shared" si="10"/>
        <v>6.72</v>
      </c>
      <c r="AE14" s="204">
        <f t="shared" si="10"/>
        <v>6.72</v>
      </c>
      <c r="AF14" s="204">
        <f t="shared" si="10"/>
        <v>6.72</v>
      </c>
      <c r="AG14" s="204">
        <f t="shared" si="10"/>
        <v>0</v>
      </c>
      <c r="AH14" s="204">
        <f t="shared" si="10"/>
        <v>0</v>
      </c>
      <c r="AI14" s="204">
        <f t="shared" si="10"/>
        <v>6.72</v>
      </c>
      <c r="AJ14" s="204">
        <f>IFERROR(IF(OR(WEEKDAY(AJ12,2)&gt;=6,AJ7=0),0,(TaginSt-AJ1)*AJ9/100),0)</f>
        <v>6.72</v>
      </c>
      <c r="AK14" s="204">
        <f>IFERROR(IF(OR(WEEKDAY(AK12,2)&gt;=6,AK7=0),0,(TaginSt-AK1)*AK9/100),0)</f>
        <v>6.72</v>
      </c>
      <c r="AL14" s="204">
        <f>IFERROR(IF(OR(WEEKDAY(AL12,2)&gt;=6,AL7=0),0,(TaginSt-AL1)*AL9/100),0)</f>
        <v>6.72</v>
      </c>
      <c r="AM14" s="205">
        <f>SUM(H14:AL14)</f>
        <v>154.56</v>
      </c>
    </row>
    <row r="15" spans="2:39" ht="12.75" customHeight="1" x14ac:dyDescent="0.2">
      <c r="D15" s="202"/>
      <c r="E15" s="202"/>
      <c r="F15" s="566"/>
      <c r="G15" s="203" t="s">
        <v>136</v>
      </c>
      <c r="H15" s="204">
        <f t="shared" ref="H15:AL15" si="11">H14/TaginSt</f>
        <v>0.79999999999999993</v>
      </c>
      <c r="I15" s="206">
        <f t="shared" si="11"/>
        <v>0.79999999999999993</v>
      </c>
      <c r="J15" s="206">
        <f t="shared" si="11"/>
        <v>0.79999999999999993</v>
      </c>
      <c r="K15" s="206">
        <f t="shared" si="11"/>
        <v>0.79999999999999993</v>
      </c>
      <c r="L15" s="206">
        <f t="shared" si="11"/>
        <v>0</v>
      </c>
      <c r="M15" s="206">
        <f t="shared" si="11"/>
        <v>0</v>
      </c>
      <c r="N15" s="206">
        <f t="shared" si="11"/>
        <v>0.79999999999999993</v>
      </c>
      <c r="O15" s="206">
        <f t="shared" si="11"/>
        <v>0.79999999999999993</v>
      </c>
      <c r="P15" s="206">
        <f t="shared" si="11"/>
        <v>0.79999999999999993</v>
      </c>
      <c r="Q15" s="206">
        <f t="shared" si="11"/>
        <v>0.79999999999999993</v>
      </c>
      <c r="R15" s="206">
        <f t="shared" si="11"/>
        <v>0.79999999999999993</v>
      </c>
      <c r="S15" s="206">
        <f t="shared" si="11"/>
        <v>0</v>
      </c>
      <c r="T15" s="206">
        <f t="shared" si="11"/>
        <v>0</v>
      </c>
      <c r="U15" s="206">
        <f t="shared" si="11"/>
        <v>0.79999999999999993</v>
      </c>
      <c r="V15" s="206">
        <f t="shared" si="11"/>
        <v>0.79999999999999993</v>
      </c>
      <c r="W15" s="206">
        <f t="shared" si="11"/>
        <v>0.79999999999999993</v>
      </c>
      <c r="X15" s="206">
        <f t="shared" si="11"/>
        <v>0.79999999999999993</v>
      </c>
      <c r="Y15" s="206">
        <f t="shared" si="11"/>
        <v>0.79999999999999993</v>
      </c>
      <c r="Z15" s="206">
        <f t="shared" si="11"/>
        <v>0</v>
      </c>
      <c r="AA15" s="206">
        <f t="shared" si="11"/>
        <v>0</v>
      </c>
      <c r="AB15" s="206">
        <f t="shared" si="11"/>
        <v>0.79999999999999993</v>
      </c>
      <c r="AC15" s="206">
        <f t="shared" si="11"/>
        <v>0.79999999999999993</v>
      </c>
      <c r="AD15" s="206">
        <f t="shared" si="11"/>
        <v>0.79999999999999993</v>
      </c>
      <c r="AE15" s="206">
        <f t="shared" si="11"/>
        <v>0.79999999999999993</v>
      </c>
      <c r="AF15" s="206">
        <f t="shared" si="11"/>
        <v>0.79999999999999993</v>
      </c>
      <c r="AG15" s="206">
        <f t="shared" si="11"/>
        <v>0</v>
      </c>
      <c r="AH15" s="206">
        <f t="shared" si="11"/>
        <v>0</v>
      </c>
      <c r="AI15" s="206">
        <f t="shared" si="11"/>
        <v>0.79999999999999993</v>
      </c>
      <c r="AJ15" s="206">
        <f t="shared" si="11"/>
        <v>0.79999999999999993</v>
      </c>
      <c r="AK15" s="206">
        <f t="shared" si="11"/>
        <v>0.79999999999999993</v>
      </c>
      <c r="AL15" s="206">
        <f t="shared" si="11"/>
        <v>0.79999999999999993</v>
      </c>
      <c r="AM15" s="205">
        <f>SUM(H15:AL15)</f>
        <v>18.400000000000006</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SaldoStdEndeJuni</f>
        <v>-826.56000000000222</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Jun!C23-AM42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Jun!C27-AM50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0</v>
      </c>
      <c r="I39" s="263">
        <f t="shared" si="16"/>
        <v>0</v>
      </c>
      <c r="J39" s="263">
        <f t="shared" si="16"/>
        <v>0</v>
      </c>
      <c r="K39" s="263">
        <f t="shared" si="16"/>
        <v>0</v>
      </c>
      <c r="L39" s="263">
        <f>IF(ISERROR(L51/TaginSt),0,L51/TaginSt)</f>
        <v>1</v>
      </c>
      <c r="M39" s="263">
        <f t="shared" si="16"/>
        <v>0</v>
      </c>
      <c r="N39" s="263">
        <f t="shared" si="16"/>
        <v>0</v>
      </c>
      <c r="O39" s="263">
        <f t="shared" si="16"/>
        <v>0</v>
      </c>
      <c r="P39" s="263">
        <f t="shared" si="16"/>
        <v>0</v>
      </c>
      <c r="Q39" s="263">
        <f t="shared" si="16"/>
        <v>0</v>
      </c>
      <c r="R39" s="263">
        <f t="shared" si="16"/>
        <v>0</v>
      </c>
      <c r="S39" s="263">
        <f t="shared" si="16"/>
        <v>1</v>
      </c>
      <c r="T39" s="263">
        <f t="shared" si="16"/>
        <v>0</v>
      </c>
      <c r="U39" s="263">
        <f t="shared" si="16"/>
        <v>0</v>
      </c>
      <c r="V39" s="263">
        <f t="shared" si="16"/>
        <v>0</v>
      </c>
      <c r="W39" s="263">
        <f t="shared" si="16"/>
        <v>0</v>
      </c>
      <c r="X39" s="263">
        <f t="shared" si="16"/>
        <v>0</v>
      </c>
      <c r="Y39" s="263">
        <f t="shared" si="16"/>
        <v>0</v>
      </c>
      <c r="Z39" s="263">
        <f t="shared" si="16"/>
        <v>1</v>
      </c>
      <c r="AA39" s="263">
        <f t="shared" si="16"/>
        <v>0</v>
      </c>
      <c r="AB39" s="263">
        <f t="shared" si="16"/>
        <v>0</v>
      </c>
      <c r="AC39" s="263">
        <f t="shared" si="16"/>
        <v>0</v>
      </c>
      <c r="AD39" s="263">
        <f t="shared" si="16"/>
        <v>0</v>
      </c>
      <c r="AE39" s="263">
        <f t="shared" si="16"/>
        <v>0</v>
      </c>
      <c r="AF39" s="263">
        <f t="shared" si="16"/>
        <v>0</v>
      </c>
      <c r="AG39" s="263">
        <f t="shared" si="16"/>
        <v>1</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459" t="s">
        <v>267</v>
      </c>
      <c r="G40" s="266" t="s">
        <v>188</v>
      </c>
      <c r="H40" s="263">
        <f t="shared" si="16"/>
        <v>1</v>
      </c>
      <c r="I40" s="263">
        <f t="shared" si="16"/>
        <v>1</v>
      </c>
      <c r="J40" s="263">
        <f>IF(ISERROR(J52/TaginSt),0,J52/TaginSt)</f>
        <v>1</v>
      </c>
      <c r="K40" s="263">
        <f t="shared" si="16"/>
        <v>1</v>
      </c>
      <c r="L40" s="263">
        <f t="shared" si="16"/>
        <v>0</v>
      </c>
      <c r="M40" s="263">
        <f t="shared" si="16"/>
        <v>0</v>
      </c>
      <c r="N40" s="263">
        <f t="shared" si="16"/>
        <v>1</v>
      </c>
      <c r="O40" s="263">
        <f t="shared" si="16"/>
        <v>1</v>
      </c>
      <c r="P40" s="263">
        <f t="shared" si="16"/>
        <v>1</v>
      </c>
      <c r="Q40" s="263">
        <f t="shared" si="16"/>
        <v>1</v>
      </c>
      <c r="R40" s="263">
        <f t="shared" si="16"/>
        <v>1</v>
      </c>
      <c r="S40" s="263">
        <f t="shared" si="16"/>
        <v>0</v>
      </c>
      <c r="T40" s="263">
        <f t="shared" si="16"/>
        <v>0</v>
      </c>
      <c r="U40" s="263">
        <f t="shared" si="16"/>
        <v>1</v>
      </c>
      <c r="V40" s="263">
        <f t="shared" si="16"/>
        <v>1</v>
      </c>
      <c r="W40" s="263">
        <f t="shared" si="16"/>
        <v>1</v>
      </c>
      <c r="X40" s="263">
        <f t="shared" si="16"/>
        <v>1</v>
      </c>
      <c r="Y40" s="263">
        <f t="shared" si="16"/>
        <v>1</v>
      </c>
      <c r="Z40" s="263">
        <f t="shared" si="16"/>
        <v>0</v>
      </c>
      <c r="AA40" s="263">
        <f t="shared" si="16"/>
        <v>0</v>
      </c>
      <c r="AB40" s="263">
        <f t="shared" si="16"/>
        <v>1</v>
      </c>
      <c r="AC40" s="263">
        <f t="shared" si="16"/>
        <v>1</v>
      </c>
      <c r="AD40" s="263">
        <f t="shared" si="16"/>
        <v>1</v>
      </c>
      <c r="AE40" s="263">
        <f t="shared" si="16"/>
        <v>1</v>
      </c>
      <c r="AF40" s="263">
        <f t="shared" si="16"/>
        <v>1</v>
      </c>
      <c r="AG40" s="263">
        <f t="shared" si="16"/>
        <v>0</v>
      </c>
      <c r="AH40" s="263">
        <f t="shared" si="16"/>
        <v>0</v>
      </c>
      <c r="AI40" s="263">
        <f t="shared" si="16"/>
        <v>1</v>
      </c>
      <c r="AJ40" s="263">
        <f t="shared" si="16"/>
        <v>1</v>
      </c>
      <c r="AK40" s="263">
        <f t="shared" si="16"/>
        <v>1</v>
      </c>
      <c r="AL40" s="263">
        <f t="shared" si="16"/>
        <v>1</v>
      </c>
      <c r="AM40" s="264">
        <f>SUM(H40:AL40)</f>
        <v>23</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0</v>
      </c>
      <c r="I51" s="270">
        <f t="shared" si="29"/>
        <v>0</v>
      </c>
      <c r="J51" s="270">
        <f t="shared" si="29"/>
        <v>0</v>
      </c>
      <c r="K51" s="270">
        <f t="shared" si="29"/>
        <v>0</v>
      </c>
      <c r="L51" s="270">
        <f t="shared" si="29"/>
        <v>8.4</v>
      </c>
      <c r="M51" s="270">
        <f t="shared" si="29"/>
        <v>0</v>
      </c>
      <c r="N51" s="270">
        <f t="shared" si="29"/>
        <v>0</v>
      </c>
      <c r="O51" s="270">
        <f t="shared" si="29"/>
        <v>0</v>
      </c>
      <c r="P51" s="270">
        <f t="shared" si="29"/>
        <v>0</v>
      </c>
      <c r="Q51" s="270">
        <f t="shared" si="29"/>
        <v>0</v>
      </c>
      <c r="R51" s="270">
        <f t="shared" si="29"/>
        <v>0</v>
      </c>
      <c r="S51" s="270">
        <f t="shared" si="29"/>
        <v>8.4</v>
      </c>
      <c r="T51" s="270">
        <f t="shared" si="29"/>
        <v>0</v>
      </c>
      <c r="U51" s="270">
        <f t="shared" si="29"/>
        <v>0</v>
      </c>
      <c r="V51" s="270">
        <f t="shared" si="29"/>
        <v>0</v>
      </c>
      <c r="W51" s="270">
        <f t="shared" si="29"/>
        <v>0</v>
      </c>
      <c r="X51" s="270">
        <f t="shared" si="29"/>
        <v>0</v>
      </c>
      <c r="Y51" s="270">
        <f t="shared" si="29"/>
        <v>0</v>
      </c>
      <c r="Z51" s="270">
        <f t="shared" si="29"/>
        <v>8.4</v>
      </c>
      <c r="AA51" s="270">
        <f t="shared" si="29"/>
        <v>0</v>
      </c>
      <c r="AB51" s="270">
        <f t="shared" si="29"/>
        <v>0</v>
      </c>
      <c r="AC51" s="270">
        <f t="shared" si="29"/>
        <v>0</v>
      </c>
      <c r="AD51" s="270">
        <f t="shared" si="29"/>
        <v>0</v>
      </c>
      <c r="AE51" s="270">
        <f t="shared" si="29"/>
        <v>0</v>
      </c>
      <c r="AF51" s="270">
        <f t="shared" si="29"/>
        <v>0</v>
      </c>
      <c r="AG51" s="270">
        <f t="shared" si="29"/>
        <v>8.4</v>
      </c>
      <c r="AH51" s="270">
        <f t="shared" si="29"/>
        <v>0</v>
      </c>
      <c r="AI51" s="270">
        <f t="shared" si="29"/>
        <v>0</v>
      </c>
      <c r="AJ51" s="270">
        <f>IFERROR(IF(OR(AJ3&gt;0,AND(AJ9=100,OR(WEEKDAY(AJ12,2)&lt;7,AJ1&gt;0))),AJ3+AJ14-AJ26,0),"")</f>
        <v>0</v>
      </c>
      <c r="AK51" s="270">
        <f>IFERROR(IF(OR(AK3&gt;0,AND(AK9=100,OR(WEEKDAY(AK12,2)&lt;7,AK1&gt;0))),AK3+AK14-AK26,0),"")</f>
        <v>0</v>
      </c>
      <c r="AL51" s="270">
        <f>IFERROR(IF(OR(AL3&gt;0,AND(AL9=100,OR(WEEKDAY(AL12,2)&lt;7,AL1&gt;0))),AL3+AL14-AL26,0),"")</f>
        <v>0</v>
      </c>
      <c r="AM51" s="271">
        <f t="shared" si="20"/>
        <v>33.6</v>
      </c>
      <c r="AN51" s="272"/>
      <c r="AO51" s="562"/>
    </row>
    <row r="52" spans="2:41" ht="12.75" hidden="1" customHeight="1" x14ac:dyDescent="0.2">
      <c r="B52" s="256"/>
      <c r="C52" s="257"/>
      <c r="D52" s="250"/>
      <c r="E52" s="250"/>
      <c r="F52" s="564"/>
      <c r="G52" s="269" t="s">
        <v>170</v>
      </c>
      <c r="H52" s="270">
        <f t="shared" ref="H52:AI52" si="30">IF(H4&gt;0,IF(AND(H1&gt;0,H14+H4-H26&lt;=H4),H4,H14+H4-H26),0)</f>
        <v>8.4</v>
      </c>
      <c r="I52" s="270">
        <f t="shared" si="30"/>
        <v>8.4</v>
      </c>
      <c r="J52" s="270">
        <f t="shared" si="30"/>
        <v>8.4</v>
      </c>
      <c r="K52" s="270">
        <f t="shared" si="30"/>
        <v>8.4</v>
      </c>
      <c r="L52" s="270">
        <f t="shared" si="30"/>
        <v>0</v>
      </c>
      <c r="M52" s="270">
        <f t="shared" si="30"/>
        <v>0</v>
      </c>
      <c r="N52" s="270">
        <f t="shared" si="30"/>
        <v>8.4</v>
      </c>
      <c r="O52" s="270">
        <f t="shared" si="30"/>
        <v>8.4</v>
      </c>
      <c r="P52" s="270">
        <f t="shared" si="30"/>
        <v>8.4</v>
      </c>
      <c r="Q52" s="270">
        <f t="shared" si="30"/>
        <v>8.4</v>
      </c>
      <c r="R52" s="270">
        <f t="shared" si="30"/>
        <v>8.4</v>
      </c>
      <c r="S52" s="270">
        <f t="shared" si="30"/>
        <v>0</v>
      </c>
      <c r="T52" s="270">
        <f t="shared" si="30"/>
        <v>0</v>
      </c>
      <c r="U52" s="270">
        <f t="shared" si="30"/>
        <v>8.4</v>
      </c>
      <c r="V52" s="270">
        <f t="shared" si="30"/>
        <v>8.4</v>
      </c>
      <c r="W52" s="270">
        <f t="shared" si="30"/>
        <v>8.4</v>
      </c>
      <c r="X52" s="270">
        <f t="shared" si="30"/>
        <v>8.4</v>
      </c>
      <c r="Y52" s="270">
        <f t="shared" si="30"/>
        <v>8.4</v>
      </c>
      <c r="Z52" s="270">
        <f t="shared" si="30"/>
        <v>0</v>
      </c>
      <c r="AA52" s="270">
        <f t="shared" si="30"/>
        <v>0</v>
      </c>
      <c r="AB52" s="270">
        <f t="shared" si="30"/>
        <v>8.4</v>
      </c>
      <c r="AC52" s="270">
        <f t="shared" si="30"/>
        <v>8.4</v>
      </c>
      <c r="AD52" s="270">
        <f t="shared" si="30"/>
        <v>8.4</v>
      </c>
      <c r="AE52" s="270">
        <f t="shared" si="30"/>
        <v>8.4</v>
      </c>
      <c r="AF52" s="270">
        <f t="shared" si="30"/>
        <v>8.4</v>
      </c>
      <c r="AG52" s="270">
        <f t="shared" si="30"/>
        <v>0</v>
      </c>
      <c r="AH52" s="270">
        <f t="shared" si="30"/>
        <v>0</v>
      </c>
      <c r="AI52" s="270">
        <f t="shared" si="30"/>
        <v>8.4</v>
      </c>
      <c r="AJ52" s="270">
        <f>IFERROR(IF(AJ4&gt;0,IF(AND(AJ1&gt;0,AJ14+AJ4-AJ26&lt;=AJ4),AJ4,AJ14+AJ4-AJ26),0),"")</f>
        <v>8.4</v>
      </c>
      <c r="AK52" s="270">
        <f>IFERROR(IF(AK4&gt;0,IF(AND(AK1&gt;0,AK14+AK4-AK26&lt;=AK4),AK4,AK14+AK4-AK26),0),"")</f>
        <v>8.4</v>
      </c>
      <c r="AL52" s="270">
        <f>IFERROR(IF(AL4&gt;0,IF(AND(AL1&gt;0,AL14+AL4-AL26&lt;=AL4),AL4,AL14+AL4-AL26),0),"")</f>
        <v>8.4</v>
      </c>
      <c r="AM52" s="271">
        <f t="shared" si="20"/>
        <v>193.20000000000007</v>
      </c>
      <c r="AN52" s="272"/>
      <c r="AO52" s="562"/>
    </row>
    <row r="53" spans="2:41" ht="12.75" hidden="1" customHeight="1" x14ac:dyDescent="0.2">
      <c r="B53" s="256"/>
      <c r="C53" s="257"/>
      <c r="D53" s="250"/>
      <c r="E53" s="250"/>
      <c r="F53" s="564"/>
      <c r="G53" s="275" t="s">
        <v>173</v>
      </c>
      <c r="H53" s="270">
        <f>IFERROR(H51+H52,"")</f>
        <v>8.4</v>
      </c>
      <c r="I53" s="270">
        <f t="shared" ref="I53:AL53" si="31">IFERROR(I51+I52,"")</f>
        <v>8.4</v>
      </c>
      <c r="J53" s="270">
        <f t="shared" si="31"/>
        <v>8.4</v>
      </c>
      <c r="K53" s="270">
        <f t="shared" si="31"/>
        <v>8.4</v>
      </c>
      <c r="L53" s="270">
        <f t="shared" si="31"/>
        <v>8.4</v>
      </c>
      <c r="M53" s="270">
        <f t="shared" si="31"/>
        <v>0</v>
      </c>
      <c r="N53" s="270">
        <f t="shared" si="31"/>
        <v>8.4</v>
      </c>
      <c r="O53" s="270">
        <f t="shared" si="31"/>
        <v>8.4</v>
      </c>
      <c r="P53" s="270">
        <f t="shared" si="31"/>
        <v>8.4</v>
      </c>
      <c r="Q53" s="270">
        <f t="shared" si="31"/>
        <v>8.4</v>
      </c>
      <c r="R53" s="270">
        <f t="shared" si="31"/>
        <v>8.4</v>
      </c>
      <c r="S53" s="270">
        <f t="shared" si="31"/>
        <v>8.4</v>
      </c>
      <c r="T53" s="270">
        <f t="shared" si="31"/>
        <v>0</v>
      </c>
      <c r="U53" s="270">
        <f t="shared" si="31"/>
        <v>8.4</v>
      </c>
      <c r="V53" s="270">
        <f t="shared" si="31"/>
        <v>8.4</v>
      </c>
      <c r="W53" s="270">
        <f t="shared" si="31"/>
        <v>8.4</v>
      </c>
      <c r="X53" s="270">
        <f t="shared" si="31"/>
        <v>8.4</v>
      </c>
      <c r="Y53" s="270">
        <f t="shared" si="31"/>
        <v>8.4</v>
      </c>
      <c r="Z53" s="270">
        <f t="shared" si="31"/>
        <v>8.4</v>
      </c>
      <c r="AA53" s="270">
        <f t="shared" si="31"/>
        <v>0</v>
      </c>
      <c r="AB53" s="270">
        <f t="shared" si="31"/>
        <v>8.4</v>
      </c>
      <c r="AC53" s="270">
        <f t="shared" si="31"/>
        <v>8.4</v>
      </c>
      <c r="AD53" s="270">
        <f t="shared" si="31"/>
        <v>8.4</v>
      </c>
      <c r="AE53" s="270">
        <f t="shared" si="31"/>
        <v>8.4</v>
      </c>
      <c r="AF53" s="270">
        <f t="shared" si="31"/>
        <v>8.4</v>
      </c>
      <c r="AG53" s="270">
        <f t="shared" si="31"/>
        <v>8.4</v>
      </c>
      <c r="AH53" s="270">
        <f t="shared" si="31"/>
        <v>0</v>
      </c>
      <c r="AI53" s="270">
        <f t="shared" si="31"/>
        <v>8.4</v>
      </c>
      <c r="AJ53" s="270">
        <f t="shared" si="31"/>
        <v>8.4</v>
      </c>
      <c r="AK53" s="270">
        <f t="shared" si="31"/>
        <v>8.4</v>
      </c>
      <c r="AL53" s="270">
        <f t="shared" si="31"/>
        <v>8.4</v>
      </c>
      <c r="AM53" s="271">
        <f t="shared" si="20"/>
        <v>226.8000000000001</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6.72</v>
      </c>
      <c r="I55" s="270">
        <f t="shared" si="33"/>
        <v>6.72</v>
      </c>
      <c r="J55" s="270">
        <f t="shared" si="33"/>
        <v>6.72</v>
      </c>
      <c r="K55" s="270">
        <f t="shared" si="33"/>
        <v>6.72</v>
      </c>
      <c r="L55" s="270">
        <f t="shared" si="33"/>
        <v>0</v>
      </c>
      <c r="M55" s="270">
        <f t="shared" si="33"/>
        <v>0</v>
      </c>
      <c r="N55" s="270">
        <f t="shared" si="33"/>
        <v>6.72</v>
      </c>
      <c r="O55" s="270">
        <f t="shared" si="33"/>
        <v>6.72</v>
      </c>
      <c r="P55" s="270">
        <f t="shared" si="33"/>
        <v>6.72</v>
      </c>
      <c r="Q55" s="270">
        <f t="shared" si="33"/>
        <v>6.72</v>
      </c>
      <c r="R55" s="270">
        <f t="shared" si="33"/>
        <v>6.72</v>
      </c>
      <c r="S55" s="270">
        <f t="shared" si="33"/>
        <v>0</v>
      </c>
      <c r="T55" s="270">
        <f t="shared" si="33"/>
        <v>0</v>
      </c>
      <c r="U55" s="270">
        <f t="shared" si="33"/>
        <v>6.72</v>
      </c>
      <c r="V55" s="270">
        <f t="shared" si="33"/>
        <v>6.72</v>
      </c>
      <c r="W55" s="270">
        <f t="shared" si="33"/>
        <v>6.72</v>
      </c>
      <c r="X55" s="270">
        <f t="shared" si="33"/>
        <v>6.72</v>
      </c>
      <c r="Y55" s="270">
        <f t="shared" si="33"/>
        <v>6.72</v>
      </c>
      <c r="Z55" s="270">
        <f t="shared" si="33"/>
        <v>0</v>
      </c>
      <c r="AA55" s="270">
        <f t="shared" si="33"/>
        <v>0</v>
      </c>
      <c r="AB55" s="270">
        <f t="shared" si="33"/>
        <v>6.72</v>
      </c>
      <c r="AC55" s="270">
        <f t="shared" si="33"/>
        <v>6.72</v>
      </c>
      <c r="AD55" s="270">
        <f t="shared" si="33"/>
        <v>6.72</v>
      </c>
      <c r="AE55" s="270">
        <f t="shared" si="33"/>
        <v>6.72</v>
      </c>
      <c r="AF55" s="270">
        <f t="shared" si="33"/>
        <v>6.72</v>
      </c>
      <c r="AG55" s="270">
        <f t="shared" si="33"/>
        <v>0</v>
      </c>
      <c r="AH55" s="270">
        <f t="shared" si="33"/>
        <v>0</v>
      </c>
      <c r="AI55" s="270">
        <f t="shared" si="33"/>
        <v>6.72</v>
      </c>
      <c r="AJ55" s="270">
        <f t="shared" si="33"/>
        <v>6.72</v>
      </c>
      <c r="AK55" s="270">
        <f t="shared" si="33"/>
        <v>6.72</v>
      </c>
      <c r="AL55" s="270">
        <f t="shared" si="33"/>
        <v>6.72</v>
      </c>
      <c r="AM55" s="271">
        <f t="shared" si="20"/>
        <v>154.56</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8,4 TZ/FR</v>
      </c>
      <c r="M66" s="279" t="str">
        <f t="shared" si="44"/>
        <v/>
      </c>
      <c r="N66" s="279" t="str">
        <f t="shared" si="44"/>
        <v>8,4 TZ/FR</v>
      </c>
      <c r="O66" s="279" t="str">
        <f t="shared" si="44"/>
        <v>8,4 TZ/FR</v>
      </c>
      <c r="P66" s="279" t="str">
        <f t="shared" si="44"/>
        <v>8,4 TZ/FR</v>
      </c>
      <c r="Q66" s="279" t="str">
        <f t="shared" si="44"/>
        <v>8,4 TZ/FR</v>
      </c>
      <c r="R66" s="279" t="str">
        <f t="shared" si="44"/>
        <v>8,4 TZ/FR</v>
      </c>
      <c r="S66" s="279" t="str">
        <f t="shared" si="44"/>
        <v>8,4 TZ/FR</v>
      </c>
      <c r="T66" s="279" t="str">
        <f t="shared" si="44"/>
        <v/>
      </c>
      <c r="U66" s="279" t="str">
        <f t="shared" si="44"/>
        <v>8,4 TZ/FR</v>
      </c>
      <c r="V66" s="279" t="str">
        <f t="shared" si="44"/>
        <v>8,4 TZ/FR</v>
      </c>
      <c r="W66" s="279" t="str">
        <f t="shared" si="44"/>
        <v>8,4 TZ/FR</v>
      </c>
      <c r="X66" s="279" t="str">
        <f t="shared" si="44"/>
        <v>8,4 TZ/FR</v>
      </c>
      <c r="Y66" s="279" t="str">
        <f t="shared" si="44"/>
        <v>8,4 TZ/FR</v>
      </c>
      <c r="Z66" s="279" t="str">
        <f t="shared" si="44"/>
        <v>8,4 TZ/FR</v>
      </c>
      <c r="AA66" s="279" t="str">
        <f t="shared" si="44"/>
        <v/>
      </c>
      <c r="AB66" s="279" t="str">
        <f t="shared" si="44"/>
        <v>8,4 TZ/FR</v>
      </c>
      <c r="AC66" s="279" t="str">
        <f t="shared" si="44"/>
        <v>8,4 TZ/FR</v>
      </c>
      <c r="AD66" s="279" t="str">
        <f t="shared" si="44"/>
        <v>8,4 TZ/FR</v>
      </c>
      <c r="AE66" s="279" t="str">
        <f t="shared" si="44"/>
        <v>8,4 TZ/FR</v>
      </c>
      <c r="AF66" s="279" t="str">
        <f t="shared" si="44"/>
        <v>8,4 TZ/FR</v>
      </c>
      <c r="AG66" s="279" t="str">
        <f t="shared" si="44"/>
        <v>8,4 TZ/FR</v>
      </c>
      <c r="AH66" s="279" t="str">
        <f t="shared" si="44"/>
        <v/>
      </c>
      <c r="AI66" s="279" t="str">
        <f t="shared" si="44"/>
        <v>8,4 TZ/FR</v>
      </c>
      <c r="AJ66" s="279" t="str">
        <f t="shared" si="44"/>
        <v>8,4 TZ/FR</v>
      </c>
      <c r="AK66" s="279" t="str">
        <f t="shared" si="44"/>
        <v>8,4 TZ/FR</v>
      </c>
      <c r="AL66" s="279" t="str">
        <f t="shared" si="44"/>
        <v>8,4 TZ/FR</v>
      </c>
      <c r="AM66" s="280" t="str">
        <f>ROUND(AM52,2)&amp;" TZ/FR"</f>
        <v>193,2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FREI</v>
      </c>
      <c r="I68" s="279" t="str">
        <f t="shared" ref="I68:AL68" si="46">IF(OR(I55="",I55=0),"","FREI")</f>
        <v>FREI</v>
      </c>
      <c r="J68" s="279" t="str">
        <f t="shared" si="46"/>
        <v>FREI</v>
      </c>
      <c r="K68" s="279" t="str">
        <f t="shared" si="46"/>
        <v>FREI</v>
      </c>
      <c r="L68" s="279" t="str">
        <f t="shared" si="46"/>
        <v/>
      </c>
      <c r="M68" s="279" t="str">
        <f t="shared" si="46"/>
        <v/>
      </c>
      <c r="N68" s="279" t="str">
        <f t="shared" si="46"/>
        <v>FREI</v>
      </c>
      <c r="O68" s="279" t="str">
        <f t="shared" si="46"/>
        <v>FREI</v>
      </c>
      <c r="P68" s="279" t="str">
        <f t="shared" si="46"/>
        <v>FREI</v>
      </c>
      <c r="Q68" s="279" t="str">
        <f t="shared" si="46"/>
        <v>FREI</v>
      </c>
      <c r="R68" s="279" t="str">
        <f t="shared" si="46"/>
        <v>FREI</v>
      </c>
      <c r="S68" s="279" t="str">
        <f t="shared" si="46"/>
        <v/>
      </c>
      <c r="T68" s="279" t="str">
        <f t="shared" si="46"/>
        <v/>
      </c>
      <c r="U68" s="279" t="str">
        <f t="shared" si="46"/>
        <v>FREI</v>
      </c>
      <c r="V68" s="279" t="str">
        <f t="shared" si="46"/>
        <v>FREI</v>
      </c>
      <c r="W68" s="279" t="str">
        <f t="shared" si="46"/>
        <v>FREI</v>
      </c>
      <c r="X68" s="279" t="str">
        <f t="shared" si="46"/>
        <v>FREI</v>
      </c>
      <c r="Y68" s="279" t="str">
        <f t="shared" si="46"/>
        <v>FREI</v>
      </c>
      <c r="Z68" s="279" t="str">
        <f t="shared" si="46"/>
        <v/>
      </c>
      <c r="AA68" s="279" t="str">
        <f t="shared" si="46"/>
        <v/>
      </c>
      <c r="AB68" s="279" t="str">
        <f t="shared" si="46"/>
        <v>FREI</v>
      </c>
      <c r="AC68" s="279" t="str">
        <f t="shared" si="46"/>
        <v>FREI</v>
      </c>
      <c r="AD68" s="279" t="str">
        <f t="shared" si="46"/>
        <v>FREI</v>
      </c>
      <c r="AE68" s="279" t="str">
        <f t="shared" si="46"/>
        <v>FREI</v>
      </c>
      <c r="AF68" s="279" t="str">
        <f t="shared" si="46"/>
        <v>FREI</v>
      </c>
      <c r="AG68" s="279" t="str">
        <f t="shared" si="46"/>
        <v/>
      </c>
      <c r="AH68" s="279" t="str">
        <f t="shared" si="46"/>
        <v/>
      </c>
      <c r="AI68" s="279" t="str">
        <f t="shared" si="46"/>
        <v>FREI</v>
      </c>
      <c r="AJ68" s="279" t="str">
        <f t="shared" si="46"/>
        <v>FREI</v>
      </c>
      <c r="AK68" s="279" t="str">
        <f t="shared" si="46"/>
        <v>FREI</v>
      </c>
      <c r="AL68" s="279" t="str">
        <f t="shared" si="46"/>
        <v>FREI</v>
      </c>
      <c r="AM68" s="280"/>
      <c r="AN68" s="272"/>
    </row>
    <row r="69" spans="2:40" ht="12.75" hidden="1" customHeight="1" x14ac:dyDescent="0.2">
      <c r="B69" s="256"/>
      <c r="C69" s="257"/>
      <c r="D69" s="250"/>
      <c r="E69" s="250"/>
      <c r="F69" s="281"/>
      <c r="G69" s="282" t="s">
        <v>132</v>
      </c>
      <c r="H69" s="283" t="str">
        <f t="shared" ref="H69:AL69" si="47">_xlfn.TEXTJOIN(";",TRUE,H56,H57,H58,H59,H60,H61,H62,H63,H64,H68)</f>
        <v>FREI</v>
      </c>
      <c r="I69" s="283" t="str">
        <f t="shared" si="47"/>
        <v>FREI</v>
      </c>
      <c r="J69" s="283" t="str">
        <f t="shared" si="47"/>
        <v>FREI</v>
      </c>
      <c r="K69" s="283" t="str">
        <f t="shared" si="47"/>
        <v>FREI</v>
      </c>
      <c r="L69" s="283" t="str">
        <f>_xlfn.TEXTJOIN(";",TRUE,L56,L57,L58,L59,L60,L61,L62,L63,L64,L68)</f>
        <v/>
      </c>
      <c r="M69" s="283" t="str">
        <f t="shared" si="47"/>
        <v/>
      </c>
      <c r="N69" s="283" t="str">
        <f t="shared" si="47"/>
        <v>FREI</v>
      </c>
      <c r="O69" s="283" t="str">
        <f t="shared" si="47"/>
        <v>FREI</v>
      </c>
      <c r="P69" s="283" t="str">
        <f t="shared" si="47"/>
        <v>FREI</v>
      </c>
      <c r="Q69" s="283" t="str">
        <f t="shared" si="47"/>
        <v>FREI</v>
      </c>
      <c r="R69" s="283" t="str">
        <f t="shared" si="47"/>
        <v>FREI</v>
      </c>
      <c r="S69" s="283" t="str">
        <f t="shared" si="47"/>
        <v/>
      </c>
      <c r="T69" s="283" t="str">
        <f t="shared" si="47"/>
        <v/>
      </c>
      <c r="U69" s="283" t="str">
        <f t="shared" si="47"/>
        <v>FREI</v>
      </c>
      <c r="V69" s="283" t="str">
        <f t="shared" si="47"/>
        <v>FREI</v>
      </c>
      <c r="W69" s="283" t="str">
        <f t="shared" si="47"/>
        <v>FREI</v>
      </c>
      <c r="X69" s="283" t="str">
        <f t="shared" si="47"/>
        <v>FREI</v>
      </c>
      <c r="Y69" s="283" t="str">
        <f t="shared" si="47"/>
        <v>FREI</v>
      </c>
      <c r="Z69" s="283" t="str">
        <f t="shared" si="47"/>
        <v/>
      </c>
      <c r="AA69" s="283" t="str">
        <f t="shared" si="47"/>
        <v/>
      </c>
      <c r="AB69" s="283" t="str">
        <f t="shared" si="47"/>
        <v>FREI</v>
      </c>
      <c r="AC69" s="283" t="str">
        <f t="shared" si="47"/>
        <v>FREI</v>
      </c>
      <c r="AD69" s="283" t="str">
        <f t="shared" si="47"/>
        <v>FREI</v>
      </c>
      <c r="AE69" s="283" t="str">
        <f t="shared" si="47"/>
        <v>FREI</v>
      </c>
      <c r="AF69" s="283" t="str">
        <f t="shared" si="47"/>
        <v>FREI</v>
      </c>
      <c r="AG69" s="283" t="str">
        <f t="shared" si="47"/>
        <v/>
      </c>
      <c r="AH69" s="283" t="str">
        <f t="shared" si="47"/>
        <v/>
      </c>
      <c r="AI69" s="283" t="str">
        <f t="shared" si="47"/>
        <v>FREI</v>
      </c>
      <c r="AJ69" s="283" t="str">
        <f t="shared" si="47"/>
        <v>FREI</v>
      </c>
      <c r="AK69" s="283" t="str">
        <f t="shared" si="47"/>
        <v>FREI</v>
      </c>
      <c r="AL69" s="283" t="str">
        <f t="shared" si="47"/>
        <v>FREI</v>
      </c>
      <c r="AM69" s="280"/>
      <c r="AN69" s="272"/>
    </row>
    <row r="70" spans="2:40" ht="12.75" hidden="1" customHeight="1" x14ac:dyDescent="0.2">
      <c r="B70" s="256"/>
      <c r="C70" s="257"/>
      <c r="D70" s="250"/>
      <c r="E70" s="250"/>
      <c r="F70" s="281"/>
      <c r="G70" s="278" t="s">
        <v>158</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cm="1">
        <f t="array" ref="L70">IF(ISERROR(_xlfn.TEXTSPLIT(L69,,";",TRUE)),0,_xlfn.TEXTSPLIT(L69,,";",TRUE))</f>
        <v>0</v>
      </c>
      <c r="M70" s="284" cm="1">
        <f t="array" ref="M70">IF(ISERROR(_xlfn.TEXTSPLIT(M69,,";",TRUE)),0,_xlfn.TEXTSPLIT(M69,,";",TRUE))</f>
        <v>0</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cm="1">
        <f t="array" ref="S70">IF(ISERROR(_xlfn.TEXTSPLIT(S69,,";",TRUE)),0,_xlfn.TEXTSPLIT(S69,,";",TRUE))</f>
        <v>0</v>
      </c>
      <c r="T70" s="284" cm="1">
        <f t="array" ref="T70">IF(ISERROR(_xlfn.TEXTSPLIT(T69,,";",TRUE)),0,_xlfn.TEXTSPLIT(T69,,";",TRUE))</f>
        <v>0</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cm="1">
        <f t="array" ref="Z70">IF(ISERROR(_xlfn.TEXTSPLIT(Z69,,";",TRUE)),0,_xlfn.TEXTSPLIT(Z69,,";",TRUE))</f>
        <v>0</v>
      </c>
      <c r="AA70" s="284" cm="1">
        <f t="array" ref="AA70">IF(ISERROR(_xlfn.TEXTSPLIT(AA69,,";",TRUE)),0,_xlfn.TEXTSPLIT(AA69,,";",TRUE))</f>
        <v>0</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cm="1">
        <f t="array" ref="AG70">IF(ISERROR(_xlfn.TEXTSPLIT(AG69,,";",TRUE)),0,_xlfn.TEXTSPLIT(AG69,,";",TRUE))</f>
        <v>0</v>
      </c>
      <c r="AH70" s="284" cm="1">
        <f t="array" ref="AH70">IF(ISERROR(_xlfn.TEXTSPLIT(AH69,,";",TRUE)),0,_xlfn.TEXTSPLIT(AH69,,";",TRUE))</f>
        <v>0</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t="str" cm="1">
        <f t="array" ref="AL70">IF(ISERROR(_xlfn.TEXTSPLIT(AL69,,";",TRUE)),0,_xlfn.TEXTSPLIT(AL69,,";",TRUE))</f>
        <v>FREI</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-833.28000000000225</v>
      </c>
      <c r="I74" s="289">
        <f t="shared" ref="I74:AL74" si="49">H74+I26-I14</f>
        <v>-840.00000000000227</v>
      </c>
      <c r="J74" s="289">
        <f t="shared" si="49"/>
        <v>-846.7200000000023</v>
      </c>
      <c r="K74" s="289">
        <f t="shared" si="49"/>
        <v>-853.44000000000233</v>
      </c>
      <c r="L74" s="289">
        <f t="shared" si="49"/>
        <v>-853.44000000000233</v>
      </c>
      <c r="M74" s="289">
        <f t="shared" si="49"/>
        <v>-853.44000000000233</v>
      </c>
      <c r="N74" s="289">
        <f t="shared" si="49"/>
        <v>-860.16000000000236</v>
      </c>
      <c r="O74" s="289">
        <f t="shared" si="49"/>
        <v>-866.88000000000238</v>
      </c>
      <c r="P74" s="289">
        <f t="shared" si="49"/>
        <v>-873.60000000000241</v>
      </c>
      <c r="Q74" s="289">
        <f t="shared" si="49"/>
        <v>-880.32000000000244</v>
      </c>
      <c r="R74" s="289">
        <f t="shared" si="49"/>
        <v>-887.04000000000246</v>
      </c>
      <c r="S74" s="289">
        <f t="shared" si="49"/>
        <v>-887.04000000000246</v>
      </c>
      <c r="T74" s="289">
        <f t="shared" si="49"/>
        <v>-887.04000000000246</v>
      </c>
      <c r="U74" s="289">
        <f t="shared" si="49"/>
        <v>-893.76000000000249</v>
      </c>
      <c r="V74" s="289">
        <f t="shared" si="49"/>
        <v>-900.48000000000252</v>
      </c>
      <c r="W74" s="289">
        <f t="shared" si="49"/>
        <v>-907.20000000000255</v>
      </c>
      <c r="X74" s="289">
        <f t="shared" si="49"/>
        <v>-913.92000000000257</v>
      </c>
      <c r="Y74" s="289">
        <f t="shared" si="49"/>
        <v>-920.6400000000026</v>
      </c>
      <c r="Z74" s="289">
        <f t="shared" si="49"/>
        <v>-920.6400000000026</v>
      </c>
      <c r="AA74" s="289">
        <f t="shared" si="49"/>
        <v>-920.6400000000026</v>
      </c>
      <c r="AB74" s="289">
        <f t="shared" si="49"/>
        <v>-927.36000000000263</v>
      </c>
      <c r="AC74" s="289">
        <f t="shared" si="49"/>
        <v>-934.08000000000266</v>
      </c>
      <c r="AD74" s="289">
        <f t="shared" si="49"/>
        <v>-940.80000000000268</v>
      </c>
      <c r="AE74" s="289">
        <f t="shared" si="49"/>
        <v>-947.52000000000271</v>
      </c>
      <c r="AF74" s="289">
        <f t="shared" si="49"/>
        <v>-954.24000000000274</v>
      </c>
      <c r="AG74" s="289">
        <f t="shared" si="49"/>
        <v>-954.24000000000274</v>
      </c>
      <c r="AH74" s="289">
        <f t="shared" si="49"/>
        <v>-954.24000000000274</v>
      </c>
      <c r="AI74" s="289">
        <f t="shared" si="49"/>
        <v>-960.96000000000276</v>
      </c>
      <c r="AJ74" s="289">
        <f t="shared" si="49"/>
        <v>-967.68000000000279</v>
      </c>
      <c r="AK74" s="289">
        <f t="shared" si="49"/>
        <v>-974.40000000000282</v>
      </c>
      <c r="AL74" s="289">
        <f t="shared" si="49"/>
        <v>-981.12000000000285</v>
      </c>
      <c r="AM74" s="290">
        <f>AL74</f>
        <v>-981.12000000000285</v>
      </c>
    </row>
    <row r="75" spans="2:40" ht="12.75" customHeight="1" x14ac:dyDescent="0.2">
      <c r="B75" s="250"/>
      <c r="C75" s="11"/>
      <c r="D75" s="250"/>
      <c r="E75" s="250"/>
      <c r="F75" s="574"/>
      <c r="G75" s="203" t="s">
        <v>71</v>
      </c>
      <c r="H75" s="291">
        <f>H74/TaginSt</f>
        <v>-99.200000000000259</v>
      </c>
      <c r="I75" s="247">
        <f t="shared" ref="I75:AL75" si="50">I74/TaginSt</f>
        <v>-100.00000000000027</v>
      </c>
      <c r="J75" s="247">
        <f t="shared" si="50"/>
        <v>-100.80000000000027</v>
      </c>
      <c r="K75" s="247">
        <f t="shared" si="50"/>
        <v>-101.60000000000028</v>
      </c>
      <c r="L75" s="247">
        <f t="shared" si="50"/>
        <v>-101.60000000000028</v>
      </c>
      <c r="M75" s="247">
        <f t="shared" si="50"/>
        <v>-101.60000000000028</v>
      </c>
      <c r="N75" s="247">
        <f t="shared" si="50"/>
        <v>-102.40000000000028</v>
      </c>
      <c r="O75" s="247">
        <f t="shared" si="50"/>
        <v>-103.20000000000027</v>
      </c>
      <c r="P75" s="247">
        <f t="shared" si="50"/>
        <v>-104.00000000000028</v>
      </c>
      <c r="Q75" s="247">
        <f t="shared" si="50"/>
        <v>-104.80000000000028</v>
      </c>
      <c r="R75" s="247">
        <f t="shared" si="50"/>
        <v>-105.60000000000029</v>
      </c>
      <c r="S75" s="247">
        <f t="shared" si="50"/>
        <v>-105.60000000000029</v>
      </c>
      <c r="T75" s="247">
        <f t="shared" si="50"/>
        <v>-105.60000000000029</v>
      </c>
      <c r="U75" s="247">
        <f t="shared" si="50"/>
        <v>-106.40000000000029</v>
      </c>
      <c r="V75" s="247">
        <f t="shared" si="50"/>
        <v>-107.2000000000003</v>
      </c>
      <c r="W75" s="247">
        <f t="shared" si="50"/>
        <v>-108.0000000000003</v>
      </c>
      <c r="X75" s="247">
        <f t="shared" si="50"/>
        <v>-108.8000000000003</v>
      </c>
      <c r="Y75" s="247">
        <f t="shared" si="50"/>
        <v>-109.60000000000031</v>
      </c>
      <c r="Z75" s="247">
        <f t="shared" si="50"/>
        <v>-109.60000000000031</v>
      </c>
      <c r="AA75" s="247">
        <f t="shared" si="50"/>
        <v>-109.60000000000031</v>
      </c>
      <c r="AB75" s="247">
        <f t="shared" si="50"/>
        <v>-110.4000000000003</v>
      </c>
      <c r="AC75" s="247">
        <f t="shared" si="50"/>
        <v>-111.20000000000032</v>
      </c>
      <c r="AD75" s="247">
        <f t="shared" si="50"/>
        <v>-112.00000000000031</v>
      </c>
      <c r="AE75" s="247">
        <f t="shared" si="50"/>
        <v>-112.80000000000032</v>
      </c>
      <c r="AF75" s="247">
        <f t="shared" si="50"/>
        <v>-113.60000000000032</v>
      </c>
      <c r="AG75" s="247">
        <f t="shared" si="50"/>
        <v>-113.60000000000032</v>
      </c>
      <c r="AH75" s="247">
        <f t="shared" si="50"/>
        <v>-113.60000000000032</v>
      </c>
      <c r="AI75" s="247">
        <f t="shared" si="50"/>
        <v>-114.40000000000032</v>
      </c>
      <c r="AJ75" s="247">
        <f t="shared" si="50"/>
        <v>-115.20000000000033</v>
      </c>
      <c r="AK75" s="247">
        <f t="shared" si="50"/>
        <v>-116.00000000000033</v>
      </c>
      <c r="AL75" s="247">
        <f t="shared" si="50"/>
        <v>-116.80000000000034</v>
      </c>
      <c r="AM75" s="292">
        <f>AL75</f>
        <v>-116.80000000000034</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B5jbI/qZEy6AKSnUpuR+089X36WR1qBX6F4mhnmD0gqXPt0+JH1OHotx6c3Ralm+XJuVapmRujQ3RAMRB8lx1A==" saltValue="v9k/qujt6nffUoCP1s8oTw==" spinCount="100000" sheet="1" objects="1" scenarios="1"/>
  <mergeCells count="29">
    <mergeCell ref="AO42:AO53"/>
    <mergeCell ref="F42:F55"/>
    <mergeCell ref="F78:G78"/>
    <mergeCell ref="F14:F15"/>
    <mergeCell ref="B17:B18"/>
    <mergeCell ref="C17:C18"/>
    <mergeCell ref="F26:F28"/>
    <mergeCell ref="F30:F38"/>
    <mergeCell ref="F56:F68"/>
    <mergeCell ref="F74:F75"/>
    <mergeCell ref="F17:F24"/>
    <mergeCell ref="F41:G41"/>
    <mergeCell ref="D79:E91"/>
    <mergeCell ref="F79:G79"/>
    <mergeCell ref="F80:G80"/>
    <mergeCell ref="F81:G81"/>
    <mergeCell ref="F82:G82"/>
    <mergeCell ref="F83:G83"/>
    <mergeCell ref="F84:G84"/>
    <mergeCell ref="F85:G85"/>
    <mergeCell ref="F86:G86"/>
    <mergeCell ref="F87:G87"/>
    <mergeCell ref="F94:G94"/>
    <mergeCell ref="F88:G88"/>
    <mergeCell ref="F89:G89"/>
    <mergeCell ref="F90:G90"/>
    <mergeCell ref="F91:G91"/>
    <mergeCell ref="F92:G92"/>
    <mergeCell ref="F93:G93"/>
  </mergeCells>
  <conditionalFormatting sqref="H11:AL12">
    <cfRule type="expression" dxfId="81" priority="11">
      <formula>OR(WEEKDAY(H$12,2)=7,IF(ISERROR(VLOOKUP(H$12,Feiertagsanspruch,1,FALSE)),0,VLOOKUP(H$12,Feiertagsanspruch,1,FALSE)))</formula>
    </cfRule>
  </conditionalFormatting>
  <conditionalFormatting sqref="H17:AL24">
    <cfRule type="expression" dxfId="80" priority="12">
      <formula>OR(WEEKDAY(H$12,2)=7,IF(ISERROR(VLOOKUP(H$12,Feiertagsanspruch,1,FALSE)),0,VLOOKUP(H$12,Feiertagsanspruch,1,FALSE)))</formula>
    </cfRule>
  </conditionalFormatting>
  <conditionalFormatting sqref="H30:AL32 H35:AL38">
    <cfRule type="expression" dxfId="79" priority="5">
      <formula>H$14=0</formula>
    </cfRule>
  </conditionalFormatting>
  <conditionalFormatting sqref="H33:AL34">
    <cfRule type="expression" dxfId="78" priority="1">
      <formula>H$9=0</formula>
    </cfRule>
  </conditionalFormatting>
  <conditionalFormatting sqref="H74:AL74">
    <cfRule type="cellIs" dxfId="77" priority="9" stopIfTrue="1" operator="lessThan">
      <formula>-20</formula>
    </cfRule>
    <cfRule type="cellIs" dxfId="76" priority="10" stopIfTrue="1" operator="greaterThan">
      <formula>50</formula>
    </cfRule>
  </conditionalFormatting>
  <conditionalFormatting sqref="H75:AL75">
    <cfRule type="cellIs" dxfId="75" priority="7" stopIfTrue="1" operator="lessThan">
      <formula>-2.38095238095238</formula>
    </cfRule>
    <cfRule type="cellIs" dxfId="74" priority="8" stopIfTrue="1" operator="greaterThan">
      <formula>5.95238095238095</formula>
    </cfRule>
  </conditionalFormatting>
  <dataValidations count="13">
    <dataValidation allowBlank="1" sqref="H29:AL29" xr:uid="{DC52FFE7-CB0F-4427-A353-028AFCB99463}"/>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EB8CC25B-285E-4F33-85BC-02C706FA57EE}">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85515AEA-29A8-491E-83E3-E4B07C437851}">
      <formula1>AND(J31&lt;=100, J31&gt;0,SUM(J30:J38)&lt;=J6,COUNTA(J30:J38)&lt;=MaxAbwesenheitenproTag,OR(AND(J30="",J32="",J33="",J35="",J36="",J37="",J38="")))</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F7AC40A-DD6D-4062-B79C-4C91477E9E8A}">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E4494621-5413-42A2-BC08-23D3B0032E12}">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5119A46C-64B6-48CC-8DCB-81FF204209D3}">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87EFD723-7442-4BEB-A7CE-F6FA597502AE}">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612124BB-02FD-4731-A3E8-82896358C167}">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A67BF1B2-6547-4A98-A3A2-1962FD0445BC}">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6B436D61-CA19-42AC-80F2-E4AC89A62815}">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01BAD6AB-1691-4358-9D09-F8C617EA42F4}">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73966295-58CD-4955-B46B-902B67FF4A37}">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75F2D51D-0630-46C0-B851-F1D5EEFD4072}">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6" id="{AA0E5292-75A9-40B2-B814-5EF602681949}">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C92B9-6BA8-473B-BD29-0BD1CD62B076}">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I17" sqref="I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8.4</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8.4</v>
      </c>
    </row>
    <row r="2" spans="2:39" ht="13.5" hidden="1" x14ac:dyDescent="0.2">
      <c r="D2" s="166"/>
      <c r="E2" s="166"/>
      <c r="G2" s="169" t="s">
        <v>186</v>
      </c>
      <c r="H2" s="170">
        <f t="shared" ref="H2:AL2" si="1">H1*H9/100</f>
        <v>6.72</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6.72</v>
      </c>
    </row>
    <row r="3" spans="2:39" hidden="1" x14ac:dyDescent="0.2">
      <c r="D3" s="166"/>
      <c r="E3" s="166"/>
      <c r="G3" s="167" t="s">
        <v>171</v>
      </c>
      <c r="H3" s="171">
        <f t="shared" ref="H3:AI3" si="2">IF(OR(WEEKDAY(H$12,2)=7,H1&gt;0),0,TaginSt-H14-H4)</f>
        <v>0</v>
      </c>
      <c r="I3" s="171">
        <f t="shared" si="2"/>
        <v>8.4</v>
      </c>
      <c r="J3" s="171">
        <f t="shared" si="2"/>
        <v>0</v>
      </c>
      <c r="K3" s="171">
        <f t="shared" si="2"/>
        <v>0</v>
      </c>
      <c r="L3" s="171">
        <f t="shared" si="2"/>
        <v>0</v>
      </c>
      <c r="M3" s="171">
        <f t="shared" si="2"/>
        <v>0</v>
      </c>
      <c r="N3" s="171">
        <f t="shared" si="2"/>
        <v>0</v>
      </c>
      <c r="O3" s="171">
        <f t="shared" si="2"/>
        <v>0</v>
      </c>
      <c r="P3" s="171">
        <f t="shared" si="2"/>
        <v>8.4</v>
      </c>
      <c r="Q3" s="171">
        <f t="shared" si="2"/>
        <v>0</v>
      </c>
      <c r="R3" s="171">
        <f t="shared" si="2"/>
        <v>0</v>
      </c>
      <c r="S3" s="171">
        <f t="shared" si="2"/>
        <v>0</v>
      </c>
      <c r="T3" s="171">
        <f t="shared" si="2"/>
        <v>0</v>
      </c>
      <c r="U3" s="171">
        <f t="shared" si="2"/>
        <v>0</v>
      </c>
      <c r="V3" s="171">
        <f t="shared" si="2"/>
        <v>0</v>
      </c>
      <c r="W3" s="171">
        <f t="shared" si="2"/>
        <v>8.4</v>
      </c>
      <c r="X3" s="171">
        <f t="shared" si="2"/>
        <v>0</v>
      </c>
      <c r="Y3" s="171">
        <f t="shared" si="2"/>
        <v>0</v>
      </c>
      <c r="Z3" s="171">
        <f t="shared" si="2"/>
        <v>0</v>
      </c>
      <c r="AA3" s="171">
        <f t="shared" si="2"/>
        <v>0</v>
      </c>
      <c r="AB3" s="171">
        <f t="shared" si="2"/>
        <v>0</v>
      </c>
      <c r="AC3" s="171">
        <f t="shared" si="2"/>
        <v>0</v>
      </c>
      <c r="AD3" s="171">
        <f t="shared" si="2"/>
        <v>8.4</v>
      </c>
      <c r="AE3" s="171">
        <f t="shared" si="2"/>
        <v>0</v>
      </c>
      <c r="AF3" s="171">
        <f t="shared" si="2"/>
        <v>0</v>
      </c>
      <c r="AG3" s="171">
        <f t="shared" si="2"/>
        <v>0</v>
      </c>
      <c r="AH3" s="171">
        <f t="shared" si="2"/>
        <v>0</v>
      </c>
      <c r="AI3" s="171">
        <f t="shared" si="2"/>
        <v>0</v>
      </c>
      <c r="AJ3" s="171">
        <f>IFERROR(IF(OR(WEEKDAY(AJ$12,2)=7,AJ1&gt;0),0,TaginSt-AJ14-AJ4),0)</f>
        <v>0</v>
      </c>
      <c r="AK3" s="171">
        <f>IFERROR(IF(OR(WEEKDAY(AK$12,2)=7,AK1&gt;0),0,TaginSt-AK14-AK4),0)</f>
        <v>8.4</v>
      </c>
      <c r="AL3" s="171">
        <f>IFERROR(IF(OR(WEEKDAY(AL$12,2)=7,AL1&gt;0),0,TaginSt-AL14-AL4),0)</f>
        <v>0</v>
      </c>
      <c r="AM3" s="170">
        <f>SUM(H3:AL3)</f>
        <v>42</v>
      </c>
    </row>
    <row r="4" spans="2:39" hidden="1" x14ac:dyDescent="0.2">
      <c r="D4" s="166"/>
      <c r="E4" s="166"/>
      <c r="G4" s="167" t="s">
        <v>172</v>
      </c>
      <c r="H4" s="171">
        <f t="shared" ref="H4:AL4" si="3">IF(H14=0,0,((TaginSt-H1)-H14))</f>
        <v>0</v>
      </c>
      <c r="I4" s="170">
        <f t="shared" si="3"/>
        <v>0</v>
      </c>
      <c r="J4" s="170">
        <f t="shared" si="3"/>
        <v>0</v>
      </c>
      <c r="K4" s="170">
        <f t="shared" si="3"/>
        <v>1.6800000000000006</v>
      </c>
      <c r="L4" s="170">
        <f t="shared" si="3"/>
        <v>1.6800000000000006</v>
      </c>
      <c r="M4" s="170">
        <f t="shared" si="3"/>
        <v>1.6800000000000006</v>
      </c>
      <c r="N4" s="170">
        <f t="shared" si="3"/>
        <v>1.6800000000000006</v>
      </c>
      <c r="O4" s="170">
        <f t="shared" si="3"/>
        <v>1.6800000000000006</v>
      </c>
      <c r="P4" s="170">
        <f t="shared" si="3"/>
        <v>0</v>
      </c>
      <c r="Q4" s="170">
        <f t="shared" si="3"/>
        <v>0</v>
      </c>
      <c r="R4" s="170">
        <f t="shared" si="3"/>
        <v>1.6800000000000006</v>
      </c>
      <c r="S4" s="170">
        <f t="shared" si="3"/>
        <v>1.6800000000000006</v>
      </c>
      <c r="T4" s="170">
        <f t="shared" si="3"/>
        <v>1.6800000000000006</v>
      </c>
      <c r="U4" s="170">
        <f t="shared" si="3"/>
        <v>1.6800000000000006</v>
      </c>
      <c r="V4" s="170">
        <f t="shared" si="3"/>
        <v>1.6800000000000006</v>
      </c>
      <c r="W4" s="170">
        <f t="shared" si="3"/>
        <v>0</v>
      </c>
      <c r="X4" s="170">
        <f t="shared" si="3"/>
        <v>0</v>
      </c>
      <c r="Y4" s="170">
        <f t="shared" si="3"/>
        <v>1.6800000000000006</v>
      </c>
      <c r="Z4" s="170">
        <f t="shared" si="3"/>
        <v>1.6800000000000006</v>
      </c>
      <c r="AA4" s="170">
        <f t="shared" si="3"/>
        <v>1.6800000000000006</v>
      </c>
      <c r="AB4" s="170">
        <f t="shared" si="3"/>
        <v>1.6800000000000006</v>
      </c>
      <c r="AC4" s="170">
        <f t="shared" si="3"/>
        <v>1.6800000000000006</v>
      </c>
      <c r="AD4" s="170">
        <f t="shared" si="3"/>
        <v>0</v>
      </c>
      <c r="AE4" s="170">
        <f t="shared" si="3"/>
        <v>0</v>
      </c>
      <c r="AF4" s="170">
        <f t="shared" si="3"/>
        <v>1.6800000000000006</v>
      </c>
      <c r="AG4" s="170">
        <f t="shared" si="3"/>
        <v>1.6800000000000006</v>
      </c>
      <c r="AH4" s="170">
        <f t="shared" si="3"/>
        <v>1.6800000000000006</v>
      </c>
      <c r="AI4" s="170">
        <f t="shared" si="3"/>
        <v>1.6800000000000006</v>
      </c>
      <c r="AJ4" s="170">
        <f t="shared" si="3"/>
        <v>1.6800000000000006</v>
      </c>
      <c r="AK4" s="170">
        <f t="shared" si="3"/>
        <v>0</v>
      </c>
      <c r="AL4" s="170">
        <f t="shared" si="3"/>
        <v>0</v>
      </c>
      <c r="AM4" s="170">
        <f>SUM(H4:AL4)</f>
        <v>33.6</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1.25</v>
      </c>
      <c r="AM5" s="170"/>
    </row>
    <row r="6" spans="2:39" hidden="1" x14ac:dyDescent="0.2">
      <c r="D6" s="166"/>
      <c r="E6" s="166"/>
      <c r="F6" s="172" t="s">
        <v>7</v>
      </c>
      <c r="G6" s="173" t="s">
        <v>107</v>
      </c>
      <c r="H6" s="174">
        <f t="shared" ref="H6:AI6" si="5">IF(AND(H7=1,H9&gt;0,WEEKDAY(H12,2)&lt;6),(TaginSt-H1)/TaginSt,0)</f>
        <v>0</v>
      </c>
      <c r="I6" s="174">
        <f t="shared" si="5"/>
        <v>0</v>
      </c>
      <c r="J6" s="174">
        <f t="shared" si="5"/>
        <v>0</v>
      </c>
      <c r="K6" s="174">
        <f t="shared" si="5"/>
        <v>1</v>
      </c>
      <c r="L6" s="174">
        <f t="shared" si="5"/>
        <v>1</v>
      </c>
      <c r="M6" s="174">
        <f t="shared" si="5"/>
        <v>1</v>
      </c>
      <c r="N6" s="174">
        <f t="shared" si="5"/>
        <v>1</v>
      </c>
      <c r="O6" s="174">
        <f t="shared" si="5"/>
        <v>1</v>
      </c>
      <c r="P6" s="174">
        <f t="shared" si="5"/>
        <v>0</v>
      </c>
      <c r="Q6" s="174">
        <f t="shared" si="5"/>
        <v>0</v>
      </c>
      <c r="R6" s="174">
        <f t="shared" si="5"/>
        <v>1</v>
      </c>
      <c r="S6" s="174">
        <f t="shared" si="5"/>
        <v>1</v>
      </c>
      <c r="T6" s="174">
        <f t="shared" si="5"/>
        <v>1</v>
      </c>
      <c r="U6" s="174">
        <f t="shared" si="5"/>
        <v>1</v>
      </c>
      <c r="V6" s="174">
        <f t="shared" si="5"/>
        <v>1</v>
      </c>
      <c r="W6" s="174">
        <f t="shared" si="5"/>
        <v>0</v>
      </c>
      <c r="X6" s="174">
        <f t="shared" si="5"/>
        <v>0</v>
      </c>
      <c r="Y6" s="174">
        <f t="shared" si="5"/>
        <v>1</v>
      </c>
      <c r="Z6" s="174">
        <f t="shared" si="5"/>
        <v>1</v>
      </c>
      <c r="AA6" s="174">
        <f t="shared" si="5"/>
        <v>1</v>
      </c>
      <c r="AB6" s="174">
        <f t="shared" si="5"/>
        <v>1</v>
      </c>
      <c r="AC6" s="174">
        <f t="shared" si="5"/>
        <v>1</v>
      </c>
      <c r="AD6" s="174">
        <f t="shared" si="5"/>
        <v>0</v>
      </c>
      <c r="AE6" s="174">
        <f t="shared" si="5"/>
        <v>0</v>
      </c>
      <c r="AF6" s="174">
        <f t="shared" si="5"/>
        <v>1</v>
      </c>
      <c r="AG6" s="174">
        <f t="shared" si="5"/>
        <v>1</v>
      </c>
      <c r="AH6" s="174">
        <f t="shared" si="5"/>
        <v>1</v>
      </c>
      <c r="AI6" s="174">
        <f t="shared" si="5"/>
        <v>1</v>
      </c>
      <c r="AJ6" s="174">
        <f>IFERROR(IF(AND(AJ7=1,AJ9&gt;0,WEEKDAY(AJ12,2)&lt;6),(TaginSt-AJ1)/TaginSt,0),0)</f>
        <v>1</v>
      </c>
      <c r="AK6" s="174">
        <f>IFERROR(IF(AND(AK7=1,AK9&gt;0,WEEKDAY(AK12,2)&lt;6),(TaginSt-AK1)/TaginSt,0),0)</f>
        <v>0</v>
      </c>
      <c r="AL6" s="174">
        <f>IFERROR(IF(AND(AL7=1,AL9&gt;0,WEEKDAY(AL12,2)&lt;6),(TaginSt-AL1)/TaginSt,0),0)</f>
        <v>0</v>
      </c>
      <c r="AM6" s="175"/>
    </row>
    <row r="7" spans="2:39" hidden="1" x14ac:dyDescent="0.2">
      <c r="F7" s="176">
        <v>8</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80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August</v>
      </c>
      <c r="C11" s="184">
        <f>Jahr</f>
        <v>2025</v>
      </c>
      <c r="D11" s="166"/>
      <c r="E11" s="166"/>
      <c r="F11" s="185"/>
      <c r="G11" s="186"/>
      <c r="H11" s="187" t="str">
        <f>TEXT(H12,"TTT")</f>
        <v>Fr</v>
      </c>
      <c r="I11" s="188" t="str">
        <f>TEXT(I12,"TTT")</f>
        <v>Sa</v>
      </c>
      <c r="J11" s="188" t="str">
        <f t="shared" ref="J11:L11" si="8">TEXT(J12,"TTT")</f>
        <v>So</v>
      </c>
      <c r="K11" s="188" t="str">
        <f t="shared" si="8"/>
        <v>Mo</v>
      </c>
      <c r="L11" s="188" t="str">
        <f t="shared" si="8"/>
        <v>Di</v>
      </c>
      <c r="M11" s="188" t="str">
        <f>TEXT(M12,"TTT")</f>
        <v>Mi</v>
      </c>
      <c r="N11" s="188" t="str">
        <f t="shared" ref="N11:AL11" si="9">TEXT(N12,"TTT")</f>
        <v>Do</v>
      </c>
      <c r="O11" s="188" t="str">
        <f t="shared" si="9"/>
        <v>Fr</v>
      </c>
      <c r="P11" s="188" t="str">
        <f t="shared" si="9"/>
        <v>Sa</v>
      </c>
      <c r="Q11" s="188" t="str">
        <f t="shared" si="9"/>
        <v>So</v>
      </c>
      <c r="R11" s="188" t="str">
        <f t="shared" si="9"/>
        <v>Mo</v>
      </c>
      <c r="S11" s="188" t="str">
        <f t="shared" si="9"/>
        <v>Di</v>
      </c>
      <c r="T11" s="188" t="str">
        <f t="shared" si="9"/>
        <v>Mi</v>
      </c>
      <c r="U11" s="188" t="str">
        <f t="shared" si="9"/>
        <v>Do</v>
      </c>
      <c r="V11" s="188" t="str">
        <f t="shared" si="9"/>
        <v>Fr</v>
      </c>
      <c r="W11" s="188" t="str">
        <f t="shared" si="9"/>
        <v>Sa</v>
      </c>
      <c r="X11" s="188" t="str">
        <f t="shared" si="9"/>
        <v>So</v>
      </c>
      <c r="Y11" s="188" t="str">
        <f t="shared" si="9"/>
        <v>Mo</v>
      </c>
      <c r="Z11" s="188" t="str">
        <f t="shared" si="9"/>
        <v>Di</v>
      </c>
      <c r="AA11" s="188" t="str">
        <f t="shared" si="9"/>
        <v>Mi</v>
      </c>
      <c r="AB11" s="188" t="str">
        <f t="shared" si="9"/>
        <v>Do</v>
      </c>
      <c r="AC11" s="188" t="str">
        <f t="shared" si="9"/>
        <v>Fr</v>
      </c>
      <c r="AD11" s="188" t="str">
        <f t="shared" si="9"/>
        <v>Sa</v>
      </c>
      <c r="AE11" s="188" t="str">
        <f t="shared" si="9"/>
        <v>So</v>
      </c>
      <c r="AF11" s="188" t="str">
        <f t="shared" si="9"/>
        <v>Mo</v>
      </c>
      <c r="AG11" s="188" t="str">
        <f t="shared" si="9"/>
        <v>Di</v>
      </c>
      <c r="AH11" s="188" t="str">
        <f t="shared" si="9"/>
        <v>Mi</v>
      </c>
      <c r="AI11" s="188" t="str">
        <f t="shared" si="9"/>
        <v>Do</v>
      </c>
      <c r="AJ11" s="188" t="str">
        <f t="shared" si="9"/>
        <v>Fr</v>
      </c>
      <c r="AK11" s="188" t="str">
        <f t="shared" si="9"/>
        <v>Sa</v>
      </c>
      <c r="AL11" s="188" t="str">
        <f t="shared" si="9"/>
        <v>So</v>
      </c>
      <c r="AM11" s="188"/>
    </row>
    <row r="12" spans="2:39" ht="12.75" customHeight="1" thickBot="1" x14ac:dyDescent="0.25">
      <c r="B12" s="189" t="str">
        <f>Pfarrer</f>
        <v>Heinz Muster</v>
      </c>
      <c r="C12" s="190"/>
      <c r="D12" s="191"/>
      <c r="E12" s="191"/>
      <c r="F12" s="185"/>
      <c r="G12" s="192" t="s">
        <v>2</v>
      </c>
      <c r="H12" s="193">
        <f>DATE(C11,F7,1)</f>
        <v>44408</v>
      </c>
      <c r="I12" s="194">
        <f>DATE(C11,F7,2)</f>
        <v>44409</v>
      </c>
      <c r="J12" s="194">
        <f>DATE(C11,F7,3)</f>
        <v>44410</v>
      </c>
      <c r="K12" s="194">
        <f>DATE(C11,F7,4)</f>
        <v>44411</v>
      </c>
      <c r="L12" s="194">
        <f>DATE(C11,F7,5)</f>
        <v>44412</v>
      </c>
      <c r="M12" s="194">
        <f>DATE(C11,F7,6)</f>
        <v>44413</v>
      </c>
      <c r="N12" s="194">
        <f>DATE(C11,F7,7)</f>
        <v>44414</v>
      </c>
      <c r="O12" s="194">
        <f>DATE(C11,F7,8)</f>
        <v>44415</v>
      </c>
      <c r="P12" s="194">
        <f>DATE(C11,F7,9)</f>
        <v>44416</v>
      </c>
      <c r="Q12" s="194">
        <f>DATE(C11,F7,10)</f>
        <v>44417</v>
      </c>
      <c r="R12" s="194">
        <f>DATE(C11,F7,11)</f>
        <v>44418</v>
      </c>
      <c r="S12" s="194">
        <f>DATE(C11,F7,12)</f>
        <v>44419</v>
      </c>
      <c r="T12" s="194">
        <f>DATE(C11,F7,13)</f>
        <v>44420</v>
      </c>
      <c r="U12" s="194">
        <f>DATE(C11,F7,14)</f>
        <v>44421</v>
      </c>
      <c r="V12" s="194">
        <f>DATE(C11,F7,15)</f>
        <v>44422</v>
      </c>
      <c r="W12" s="194">
        <f>DATE(C11,F7,16)</f>
        <v>44423</v>
      </c>
      <c r="X12" s="194">
        <f>DATE(C11,F7,17)</f>
        <v>44424</v>
      </c>
      <c r="Y12" s="194">
        <f>DATE(C11,F7,18)</f>
        <v>44425</v>
      </c>
      <c r="Z12" s="194">
        <f>DATE(C11,F7,19)</f>
        <v>44426</v>
      </c>
      <c r="AA12" s="194">
        <f>DATE(C11,F7,20)</f>
        <v>44427</v>
      </c>
      <c r="AB12" s="194">
        <f>DATE(C11,F7,21)</f>
        <v>44428</v>
      </c>
      <c r="AC12" s="194">
        <f>DATE(C11,F7,22)</f>
        <v>44429</v>
      </c>
      <c r="AD12" s="194">
        <f>DATE(C11,F7,23)</f>
        <v>44430</v>
      </c>
      <c r="AE12" s="194">
        <f>DATE(C11,F7,24)</f>
        <v>44431</v>
      </c>
      <c r="AF12" s="194">
        <f>DATE(C11,F7,25)</f>
        <v>44432</v>
      </c>
      <c r="AG12" s="194">
        <f>DATE(C11,F7,26)</f>
        <v>44433</v>
      </c>
      <c r="AH12" s="194">
        <f>DATE(C11,F7,27)</f>
        <v>44434</v>
      </c>
      <c r="AI12" s="194">
        <f>DATE(C11,F7,28)</f>
        <v>44435</v>
      </c>
      <c r="AJ12" s="194">
        <f>IFERROR(IF(MONTH(AI12+1)=MONTH($H$12),AI$12+1,""),"")</f>
        <v>44436</v>
      </c>
      <c r="AK12" s="194">
        <f>IFERROR(IF(MONTH(AJ12+1)=MONTH($H$12),AJ$12+1,""),"")</f>
        <v>44437</v>
      </c>
      <c r="AL12" s="194">
        <f>IFERROR(IF(MONTH(AK12+1)=MONTH($H$12),AK$12+1,""),"")</f>
        <v>44438</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0</v>
      </c>
      <c r="I14" s="204">
        <f t="shared" si="10"/>
        <v>0</v>
      </c>
      <c r="J14" s="204">
        <f t="shared" si="10"/>
        <v>0</v>
      </c>
      <c r="K14" s="204">
        <f t="shared" si="10"/>
        <v>6.72</v>
      </c>
      <c r="L14" s="204">
        <f t="shared" si="10"/>
        <v>6.72</v>
      </c>
      <c r="M14" s="204">
        <f t="shared" si="10"/>
        <v>6.72</v>
      </c>
      <c r="N14" s="204">
        <f t="shared" si="10"/>
        <v>6.72</v>
      </c>
      <c r="O14" s="204">
        <f t="shared" si="10"/>
        <v>6.72</v>
      </c>
      <c r="P14" s="204">
        <f t="shared" si="10"/>
        <v>0</v>
      </c>
      <c r="Q14" s="204">
        <f t="shared" si="10"/>
        <v>0</v>
      </c>
      <c r="R14" s="204">
        <f t="shared" si="10"/>
        <v>6.72</v>
      </c>
      <c r="S14" s="204">
        <f t="shared" si="10"/>
        <v>6.72</v>
      </c>
      <c r="T14" s="204">
        <f t="shared" si="10"/>
        <v>6.72</v>
      </c>
      <c r="U14" s="204">
        <f t="shared" si="10"/>
        <v>6.72</v>
      </c>
      <c r="V14" s="204">
        <f t="shared" si="10"/>
        <v>6.72</v>
      </c>
      <c r="W14" s="204">
        <f t="shared" si="10"/>
        <v>0</v>
      </c>
      <c r="X14" s="204">
        <f t="shared" si="10"/>
        <v>0</v>
      </c>
      <c r="Y14" s="204">
        <f t="shared" si="10"/>
        <v>6.72</v>
      </c>
      <c r="Z14" s="204">
        <f t="shared" si="10"/>
        <v>6.72</v>
      </c>
      <c r="AA14" s="204">
        <f t="shared" si="10"/>
        <v>6.72</v>
      </c>
      <c r="AB14" s="204">
        <f t="shared" si="10"/>
        <v>6.72</v>
      </c>
      <c r="AC14" s="204">
        <f t="shared" si="10"/>
        <v>6.72</v>
      </c>
      <c r="AD14" s="204">
        <f t="shared" si="10"/>
        <v>0</v>
      </c>
      <c r="AE14" s="204">
        <f t="shared" si="10"/>
        <v>0</v>
      </c>
      <c r="AF14" s="204">
        <f t="shared" si="10"/>
        <v>6.72</v>
      </c>
      <c r="AG14" s="204">
        <f t="shared" si="10"/>
        <v>6.72</v>
      </c>
      <c r="AH14" s="204">
        <f t="shared" si="10"/>
        <v>6.72</v>
      </c>
      <c r="AI14" s="204">
        <f t="shared" si="10"/>
        <v>6.72</v>
      </c>
      <c r="AJ14" s="204">
        <f>IFERROR(IF(OR(WEEKDAY(AJ12,2)&gt;=6,AJ7=0),0,(TaginSt-AJ1)*AJ9/100),0)</f>
        <v>6.72</v>
      </c>
      <c r="AK14" s="204">
        <f>IFERROR(IF(OR(WEEKDAY(AK12,2)&gt;=6,AK7=0),0,(TaginSt-AK1)*AK9/100),0)</f>
        <v>0</v>
      </c>
      <c r="AL14" s="204">
        <f>IFERROR(IF(OR(WEEKDAY(AL12,2)&gt;=6,AL7=0),0,(TaginSt-AL1)*AL9/100),0)</f>
        <v>0</v>
      </c>
      <c r="AM14" s="205">
        <f>SUM(H14:AL14)</f>
        <v>134.4</v>
      </c>
    </row>
    <row r="15" spans="2:39" ht="12.75" customHeight="1" x14ac:dyDescent="0.2">
      <c r="D15" s="202"/>
      <c r="E15" s="202"/>
      <c r="F15" s="566"/>
      <c r="G15" s="203" t="s">
        <v>136</v>
      </c>
      <c r="H15" s="204">
        <f t="shared" ref="H15:AL15" si="11">H14/TaginSt</f>
        <v>0</v>
      </c>
      <c r="I15" s="206">
        <f t="shared" si="11"/>
        <v>0</v>
      </c>
      <c r="J15" s="206">
        <f t="shared" si="11"/>
        <v>0</v>
      </c>
      <c r="K15" s="206">
        <f t="shared" si="11"/>
        <v>0.79999999999999993</v>
      </c>
      <c r="L15" s="206">
        <f t="shared" si="11"/>
        <v>0.79999999999999993</v>
      </c>
      <c r="M15" s="206">
        <f t="shared" si="11"/>
        <v>0.79999999999999993</v>
      </c>
      <c r="N15" s="206">
        <f t="shared" si="11"/>
        <v>0.79999999999999993</v>
      </c>
      <c r="O15" s="206">
        <f t="shared" si="11"/>
        <v>0.79999999999999993</v>
      </c>
      <c r="P15" s="206">
        <f t="shared" si="11"/>
        <v>0</v>
      </c>
      <c r="Q15" s="206">
        <f t="shared" si="11"/>
        <v>0</v>
      </c>
      <c r="R15" s="206">
        <f t="shared" si="11"/>
        <v>0.79999999999999993</v>
      </c>
      <c r="S15" s="206">
        <f t="shared" si="11"/>
        <v>0.79999999999999993</v>
      </c>
      <c r="T15" s="206">
        <f t="shared" si="11"/>
        <v>0.79999999999999993</v>
      </c>
      <c r="U15" s="206">
        <f t="shared" si="11"/>
        <v>0.79999999999999993</v>
      </c>
      <c r="V15" s="206">
        <f t="shared" si="11"/>
        <v>0.79999999999999993</v>
      </c>
      <c r="W15" s="206">
        <f t="shared" si="11"/>
        <v>0</v>
      </c>
      <c r="X15" s="206">
        <f t="shared" si="11"/>
        <v>0</v>
      </c>
      <c r="Y15" s="206">
        <f t="shared" si="11"/>
        <v>0.79999999999999993</v>
      </c>
      <c r="Z15" s="206">
        <f t="shared" si="11"/>
        <v>0.79999999999999993</v>
      </c>
      <c r="AA15" s="206">
        <f t="shared" si="11"/>
        <v>0.79999999999999993</v>
      </c>
      <c r="AB15" s="206">
        <f t="shared" si="11"/>
        <v>0.79999999999999993</v>
      </c>
      <c r="AC15" s="206">
        <f t="shared" si="11"/>
        <v>0.79999999999999993</v>
      </c>
      <c r="AD15" s="206">
        <f t="shared" si="11"/>
        <v>0</v>
      </c>
      <c r="AE15" s="206">
        <f t="shared" si="11"/>
        <v>0</v>
      </c>
      <c r="AF15" s="206">
        <f t="shared" si="11"/>
        <v>0.79999999999999993</v>
      </c>
      <c r="AG15" s="206">
        <f t="shared" si="11"/>
        <v>0.79999999999999993</v>
      </c>
      <c r="AH15" s="206">
        <f t="shared" si="11"/>
        <v>0.79999999999999993</v>
      </c>
      <c r="AI15" s="206">
        <f t="shared" si="11"/>
        <v>0.79999999999999993</v>
      </c>
      <c r="AJ15" s="206">
        <f t="shared" si="11"/>
        <v>0.79999999999999993</v>
      </c>
      <c r="AK15" s="206">
        <f t="shared" si="11"/>
        <v>0</v>
      </c>
      <c r="AL15" s="206">
        <f t="shared" si="11"/>
        <v>0</v>
      </c>
      <c r="AM15" s="205">
        <f>SUM(H15:AL15)</f>
        <v>16.000000000000004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SaldoStdEndeJul</f>
        <v>-981.12000000000285</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Jul!C23-AM42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Jul!C27-AM50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0</v>
      </c>
      <c r="I39" s="263">
        <f t="shared" si="16"/>
        <v>1</v>
      </c>
      <c r="J39" s="263">
        <f t="shared" si="16"/>
        <v>0</v>
      </c>
      <c r="K39" s="263">
        <f t="shared" si="16"/>
        <v>0</v>
      </c>
      <c r="L39" s="263">
        <f>IF(ISERROR(L51/TaginSt),0,L51/TaginSt)</f>
        <v>0</v>
      </c>
      <c r="M39" s="263">
        <f t="shared" si="16"/>
        <v>0</v>
      </c>
      <c r="N39" s="263">
        <f t="shared" si="16"/>
        <v>0</v>
      </c>
      <c r="O39" s="263">
        <f t="shared" si="16"/>
        <v>0</v>
      </c>
      <c r="P39" s="263">
        <f t="shared" si="16"/>
        <v>1</v>
      </c>
      <c r="Q39" s="263">
        <f t="shared" si="16"/>
        <v>0</v>
      </c>
      <c r="R39" s="263">
        <f t="shared" si="16"/>
        <v>0</v>
      </c>
      <c r="S39" s="263">
        <f t="shared" si="16"/>
        <v>0</v>
      </c>
      <c r="T39" s="263">
        <f t="shared" si="16"/>
        <v>0</v>
      </c>
      <c r="U39" s="263">
        <f t="shared" si="16"/>
        <v>0</v>
      </c>
      <c r="V39" s="263">
        <f t="shared" si="16"/>
        <v>0</v>
      </c>
      <c r="W39" s="263">
        <f t="shared" si="16"/>
        <v>1</v>
      </c>
      <c r="X39" s="263">
        <f t="shared" si="16"/>
        <v>0</v>
      </c>
      <c r="Y39" s="263">
        <f t="shared" si="16"/>
        <v>0</v>
      </c>
      <c r="Z39" s="263">
        <f t="shared" si="16"/>
        <v>0</v>
      </c>
      <c r="AA39" s="263">
        <f t="shared" si="16"/>
        <v>0</v>
      </c>
      <c r="AB39" s="263">
        <f t="shared" si="16"/>
        <v>0</v>
      </c>
      <c r="AC39" s="263">
        <f t="shared" si="16"/>
        <v>0</v>
      </c>
      <c r="AD39" s="263">
        <f t="shared" si="16"/>
        <v>1</v>
      </c>
      <c r="AE39" s="263">
        <f t="shared" si="16"/>
        <v>0</v>
      </c>
      <c r="AF39" s="263">
        <f t="shared" si="16"/>
        <v>0</v>
      </c>
      <c r="AG39" s="263">
        <f t="shared" si="16"/>
        <v>0</v>
      </c>
      <c r="AH39" s="263">
        <f t="shared" si="16"/>
        <v>0</v>
      </c>
      <c r="AI39" s="263">
        <f t="shared" si="16"/>
        <v>0</v>
      </c>
      <c r="AJ39" s="263">
        <f t="shared" si="16"/>
        <v>0</v>
      </c>
      <c r="AK39" s="263">
        <f t="shared" si="16"/>
        <v>1</v>
      </c>
      <c r="AL39" s="263">
        <f t="shared" si="16"/>
        <v>0</v>
      </c>
      <c r="AM39" s="264">
        <f>SUM(H39:AL39)</f>
        <v>5</v>
      </c>
      <c r="AN39" s="265"/>
    </row>
    <row r="40" spans="2:43" ht="12.75" customHeight="1" x14ac:dyDescent="0.2">
      <c r="D40" s="250"/>
      <c r="E40" s="250"/>
      <c r="F40" s="459" t="s">
        <v>267</v>
      </c>
      <c r="G40" s="266" t="s">
        <v>188</v>
      </c>
      <c r="H40" s="263">
        <f t="shared" si="16"/>
        <v>0</v>
      </c>
      <c r="I40" s="263">
        <f t="shared" si="16"/>
        <v>0</v>
      </c>
      <c r="J40" s="263">
        <f>IF(ISERROR(J52/TaginSt),0,J52/TaginSt)</f>
        <v>0</v>
      </c>
      <c r="K40" s="263">
        <f t="shared" si="16"/>
        <v>1</v>
      </c>
      <c r="L40" s="263">
        <f t="shared" si="16"/>
        <v>1</v>
      </c>
      <c r="M40" s="263">
        <f t="shared" si="16"/>
        <v>1</v>
      </c>
      <c r="N40" s="263">
        <f t="shared" si="16"/>
        <v>1</v>
      </c>
      <c r="O40" s="263">
        <f t="shared" si="16"/>
        <v>1</v>
      </c>
      <c r="P40" s="263">
        <f t="shared" si="16"/>
        <v>0</v>
      </c>
      <c r="Q40" s="263">
        <f t="shared" si="16"/>
        <v>0</v>
      </c>
      <c r="R40" s="263">
        <f t="shared" si="16"/>
        <v>1</v>
      </c>
      <c r="S40" s="263">
        <f t="shared" si="16"/>
        <v>1</v>
      </c>
      <c r="T40" s="263">
        <f t="shared" si="16"/>
        <v>1</v>
      </c>
      <c r="U40" s="263">
        <f t="shared" si="16"/>
        <v>1</v>
      </c>
      <c r="V40" s="263">
        <f t="shared" si="16"/>
        <v>1</v>
      </c>
      <c r="W40" s="263">
        <f t="shared" si="16"/>
        <v>0</v>
      </c>
      <c r="X40" s="263">
        <f t="shared" si="16"/>
        <v>0</v>
      </c>
      <c r="Y40" s="263">
        <f t="shared" si="16"/>
        <v>1</v>
      </c>
      <c r="Z40" s="263">
        <f t="shared" si="16"/>
        <v>1</v>
      </c>
      <c r="AA40" s="263">
        <f t="shared" si="16"/>
        <v>1</v>
      </c>
      <c r="AB40" s="263">
        <f t="shared" si="16"/>
        <v>1</v>
      </c>
      <c r="AC40" s="263">
        <f t="shared" si="16"/>
        <v>1</v>
      </c>
      <c r="AD40" s="263">
        <f t="shared" si="16"/>
        <v>0</v>
      </c>
      <c r="AE40" s="263">
        <f t="shared" si="16"/>
        <v>0</v>
      </c>
      <c r="AF40" s="263">
        <f t="shared" si="16"/>
        <v>1</v>
      </c>
      <c r="AG40" s="263">
        <f t="shared" si="16"/>
        <v>1</v>
      </c>
      <c r="AH40" s="263">
        <f t="shared" si="16"/>
        <v>1</v>
      </c>
      <c r="AI40" s="263">
        <f t="shared" si="16"/>
        <v>1</v>
      </c>
      <c r="AJ40" s="263">
        <f t="shared" si="16"/>
        <v>1</v>
      </c>
      <c r="AK40" s="263">
        <f t="shared" si="16"/>
        <v>0</v>
      </c>
      <c r="AL40" s="263">
        <f t="shared" si="16"/>
        <v>0</v>
      </c>
      <c r="AM40" s="264">
        <f>SUM(H40:AL40)</f>
        <v>20</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0</v>
      </c>
      <c r="I51" s="270">
        <f t="shared" si="29"/>
        <v>8.4</v>
      </c>
      <c r="J51" s="270">
        <f t="shared" si="29"/>
        <v>0</v>
      </c>
      <c r="K51" s="270">
        <f t="shared" si="29"/>
        <v>0</v>
      </c>
      <c r="L51" s="270">
        <f t="shared" si="29"/>
        <v>0</v>
      </c>
      <c r="M51" s="270">
        <f t="shared" si="29"/>
        <v>0</v>
      </c>
      <c r="N51" s="270">
        <f t="shared" si="29"/>
        <v>0</v>
      </c>
      <c r="O51" s="270">
        <f t="shared" si="29"/>
        <v>0</v>
      </c>
      <c r="P51" s="270">
        <f t="shared" si="29"/>
        <v>8.4</v>
      </c>
      <c r="Q51" s="270">
        <f t="shared" si="29"/>
        <v>0</v>
      </c>
      <c r="R51" s="270">
        <f t="shared" si="29"/>
        <v>0</v>
      </c>
      <c r="S51" s="270">
        <f t="shared" si="29"/>
        <v>0</v>
      </c>
      <c r="T51" s="270">
        <f t="shared" si="29"/>
        <v>0</v>
      </c>
      <c r="U51" s="270">
        <f t="shared" si="29"/>
        <v>0</v>
      </c>
      <c r="V51" s="270">
        <f t="shared" si="29"/>
        <v>0</v>
      </c>
      <c r="W51" s="270">
        <f t="shared" si="29"/>
        <v>8.4</v>
      </c>
      <c r="X51" s="270">
        <f t="shared" si="29"/>
        <v>0</v>
      </c>
      <c r="Y51" s="270">
        <f t="shared" si="29"/>
        <v>0</v>
      </c>
      <c r="Z51" s="270">
        <f t="shared" si="29"/>
        <v>0</v>
      </c>
      <c r="AA51" s="270">
        <f t="shared" si="29"/>
        <v>0</v>
      </c>
      <c r="AB51" s="270">
        <f t="shared" si="29"/>
        <v>0</v>
      </c>
      <c r="AC51" s="270">
        <f t="shared" si="29"/>
        <v>0</v>
      </c>
      <c r="AD51" s="270">
        <f t="shared" si="29"/>
        <v>8.4</v>
      </c>
      <c r="AE51" s="270">
        <f t="shared" si="29"/>
        <v>0</v>
      </c>
      <c r="AF51" s="270">
        <f t="shared" si="29"/>
        <v>0</v>
      </c>
      <c r="AG51" s="270">
        <f t="shared" si="29"/>
        <v>0</v>
      </c>
      <c r="AH51" s="270">
        <f t="shared" si="29"/>
        <v>0</v>
      </c>
      <c r="AI51" s="270">
        <f t="shared" si="29"/>
        <v>0</v>
      </c>
      <c r="AJ51" s="270">
        <f>IFERROR(IF(OR(AJ3&gt;0,AND(AJ9=100,OR(WEEKDAY(AJ12,2)&lt;7,AJ1&gt;0))),AJ3+AJ14-AJ26,0),"")</f>
        <v>0</v>
      </c>
      <c r="AK51" s="270">
        <f>IFERROR(IF(OR(AK3&gt;0,AND(AK9=100,OR(WEEKDAY(AK12,2)&lt;7,AK1&gt;0))),AK3+AK14-AK26,0),"")</f>
        <v>8.4</v>
      </c>
      <c r="AL51" s="270">
        <f>IFERROR(IF(OR(AL3&gt;0,AND(AL9=100,OR(WEEKDAY(AL12,2)&lt;7,AL1&gt;0))),AL3+AL14-AL26,0),"")</f>
        <v>0</v>
      </c>
      <c r="AM51" s="271">
        <f t="shared" si="20"/>
        <v>42</v>
      </c>
      <c r="AN51" s="272"/>
      <c r="AO51" s="562"/>
    </row>
    <row r="52" spans="2:41" ht="12.75" hidden="1" customHeight="1" x14ac:dyDescent="0.2">
      <c r="B52" s="256"/>
      <c r="C52" s="257"/>
      <c r="D52" s="250"/>
      <c r="E52" s="250"/>
      <c r="F52" s="564"/>
      <c r="G52" s="269" t="s">
        <v>170</v>
      </c>
      <c r="H52" s="270">
        <f t="shared" ref="H52:AI52" si="30">IF(H4&gt;0,IF(AND(H1&gt;0,H14+H4-H26&lt;=H4),H4,H14+H4-H26),0)</f>
        <v>0</v>
      </c>
      <c r="I52" s="270">
        <f t="shared" si="30"/>
        <v>0</v>
      </c>
      <c r="J52" s="270">
        <f t="shared" si="30"/>
        <v>0</v>
      </c>
      <c r="K52" s="270">
        <f t="shared" si="30"/>
        <v>8.4</v>
      </c>
      <c r="L52" s="270">
        <f t="shared" si="30"/>
        <v>8.4</v>
      </c>
      <c r="M52" s="270">
        <f t="shared" si="30"/>
        <v>8.4</v>
      </c>
      <c r="N52" s="270">
        <f t="shared" si="30"/>
        <v>8.4</v>
      </c>
      <c r="O52" s="270">
        <f t="shared" si="30"/>
        <v>8.4</v>
      </c>
      <c r="P52" s="270">
        <f t="shared" si="30"/>
        <v>0</v>
      </c>
      <c r="Q52" s="270">
        <f t="shared" si="30"/>
        <v>0</v>
      </c>
      <c r="R52" s="270">
        <f t="shared" si="30"/>
        <v>8.4</v>
      </c>
      <c r="S52" s="270">
        <f t="shared" si="30"/>
        <v>8.4</v>
      </c>
      <c r="T52" s="270">
        <f t="shared" si="30"/>
        <v>8.4</v>
      </c>
      <c r="U52" s="270">
        <f t="shared" si="30"/>
        <v>8.4</v>
      </c>
      <c r="V52" s="270">
        <f t="shared" si="30"/>
        <v>8.4</v>
      </c>
      <c r="W52" s="270">
        <f t="shared" si="30"/>
        <v>0</v>
      </c>
      <c r="X52" s="270">
        <f t="shared" si="30"/>
        <v>0</v>
      </c>
      <c r="Y52" s="270">
        <f t="shared" si="30"/>
        <v>8.4</v>
      </c>
      <c r="Z52" s="270">
        <f t="shared" si="30"/>
        <v>8.4</v>
      </c>
      <c r="AA52" s="270">
        <f t="shared" si="30"/>
        <v>8.4</v>
      </c>
      <c r="AB52" s="270">
        <f t="shared" si="30"/>
        <v>8.4</v>
      </c>
      <c r="AC52" s="270">
        <f t="shared" si="30"/>
        <v>8.4</v>
      </c>
      <c r="AD52" s="270">
        <f t="shared" si="30"/>
        <v>0</v>
      </c>
      <c r="AE52" s="270">
        <f t="shared" si="30"/>
        <v>0</v>
      </c>
      <c r="AF52" s="270">
        <f t="shared" si="30"/>
        <v>8.4</v>
      </c>
      <c r="AG52" s="270">
        <f t="shared" si="30"/>
        <v>8.4</v>
      </c>
      <c r="AH52" s="270">
        <f t="shared" si="30"/>
        <v>8.4</v>
      </c>
      <c r="AI52" s="270">
        <f t="shared" si="30"/>
        <v>8.4</v>
      </c>
      <c r="AJ52" s="270">
        <f>IFERROR(IF(AJ4&gt;0,IF(AND(AJ1&gt;0,AJ14+AJ4-AJ26&lt;=AJ4),AJ4,AJ14+AJ4-AJ26),0),"")</f>
        <v>8.4</v>
      </c>
      <c r="AK52" s="270">
        <f>IFERROR(IF(AK4&gt;0,IF(AND(AK1&gt;0,AK14+AK4-AK26&lt;=AK4),AK4,AK14+AK4-AK26),0),"")</f>
        <v>0</v>
      </c>
      <c r="AL52" s="270">
        <f>IFERROR(IF(AL4&gt;0,IF(AND(AL1&gt;0,AL14+AL4-AL26&lt;=AL4),AL4,AL14+AL4-AL26),0),"")</f>
        <v>0</v>
      </c>
      <c r="AM52" s="271">
        <f t="shared" si="20"/>
        <v>168.00000000000006</v>
      </c>
      <c r="AN52" s="272"/>
      <c r="AO52" s="562"/>
    </row>
    <row r="53" spans="2:41" ht="12.75" hidden="1" customHeight="1" x14ac:dyDescent="0.2">
      <c r="B53" s="256"/>
      <c r="C53" s="257"/>
      <c r="D53" s="250"/>
      <c r="E53" s="250"/>
      <c r="F53" s="564"/>
      <c r="G53" s="275" t="s">
        <v>173</v>
      </c>
      <c r="H53" s="270">
        <f>IFERROR(H51+H52,"")</f>
        <v>0</v>
      </c>
      <c r="I53" s="270">
        <f t="shared" ref="I53:AL53" si="31">IFERROR(I51+I52,"")</f>
        <v>8.4</v>
      </c>
      <c r="J53" s="270">
        <f t="shared" si="31"/>
        <v>0</v>
      </c>
      <c r="K53" s="270">
        <f t="shared" si="31"/>
        <v>8.4</v>
      </c>
      <c r="L53" s="270">
        <f t="shared" si="31"/>
        <v>8.4</v>
      </c>
      <c r="M53" s="270">
        <f t="shared" si="31"/>
        <v>8.4</v>
      </c>
      <c r="N53" s="270">
        <f t="shared" si="31"/>
        <v>8.4</v>
      </c>
      <c r="O53" s="270">
        <f t="shared" si="31"/>
        <v>8.4</v>
      </c>
      <c r="P53" s="270">
        <f t="shared" si="31"/>
        <v>8.4</v>
      </c>
      <c r="Q53" s="270">
        <f t="shared" si="31"/>
        <v>0</v>
      </c>
      <c r="R53" s="270">
        <f t="shared" si="31"/>
        <v>8.4</v>
      </c>
      <c r="S53" s="270">
        <f t="shared" si="31"/>
        <v>8.4</v>
      </c>
      <c r="T53" s="270">
        <f t="shared" si="31"/>
        <v>8.4</v>
      </c>
      <c r="U53" s="270">
        <f t="shared" si="31"/>
        <v>8.4</v>
      </c>
      <c r="V53" s="270">
        <f t="shared" si="31"/>
        <v>8.4</v>
      </c>
      <c r="W53" s="270">
        <f t="shared" si="31"/>
        <v>8.4</v>
      </c>
      <c r="X53" s="270">
        <f t="shared" si="31"/>
        <v>0</v>
      </c>
      <c r="Y53" s="270">
        <f t="shared" si="31"/>
        <v>8.4</v>
      </c>
      <c r="Z53" s="270">
        <f t="shared" si="31"/>
        <v>8.4</v>
      </c>
      <c r="AA53" s="270">
        <f t="shared" si="31"/>
        <v>8.4</v>
      </c>
      <c r="AB53" s="270">
        <f t="shared" si="31"/>
        <v>8.4</v>
      </c>
      <c r="AC53" s="270">
        <f t="shared" si="31"/>
        <v>8.4</v>
      </c>
      <c r="AD53" s="270">
        <f t="shared" si="31"/>
        <v>8.4</v>
      </c>
      <c r="AE53" s="270">
        <f t="shared" si="31"/>
        <v>0</v>
      </c>
      <c r="AF53" s="270">
        <f t="shared" si="31"/>
        <v>8.4</v>
      </c>
      <c r="AG53" s="270">
        <f t="shared" si="31"/>
        <v>8.4</v>
      </c>
      <c r="AH53" s="270">
        <f t="shared" si="31"/>
        <v>8.4</v>
      </c>
      <c r="AI53" s="270">
        <f t="shared" si="31"/>
        <v>8.4</v>
      </c>
      <c r="AJ53" s="270">
        <f t="shared" si="31"/>
        <v>8.4</v>
      </c>
      <c r="AK53" s="270">
        <f t="shared" si="31"/>
        <v>8.4</v>
      </c>
      <c r="AL53" s="270">
        <f t="shared" si="31"/>
        <v>0</v>
      </c>
      <c r="AM53" s="271">
        <f t="shared" si="20"/>
        <v>210.00000000000009</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0</v>
      </c>
      <c r="I55" s="270">
        <f t="shared" si="33"/>
        <v>0</v>
      </c>
      <c r="J55" s="270">
        <f t="shared" si="33"/>
        <v>0</v>
      </c>
      <c r="K55" s="270">
        <f t="shared" si="33"/>
        <v>6.72</v>
      </c>
      <c r="L55" s="270">
        <f t="shared" si="33"/>
        <v>6.72</v>
      </c>
      <c r="M55" s="270">
        <f t="shared" si="33"/>
        <v>6.72</v>
      </c>
      <c r="N55" s="270">
        <f t="shared" si="33"/>
        <v>6.72</v>
      </c>
      <c r="O55" s="270">
        <f t="shared" si="33"/>
        <v>6.72</v>
      </c>
      <c r="P55" s="270">
        <f t="shared" si="33"/>
        <v>0</v>
      </c>
      <c r="Q55" s="270">
        <f t="shared" si="33"/>
        <v>0</v>
      </c>
      <c r="R55" s="270">
        <f t="shared" si="33"/>
        <v>6.72</v>
      </c>
      <c r="S55" s="270">
        <f t="shared" si="33"/>
        <v>6.72</v>
      </c>
      <c r="T55" s="270">
        <f t="shared" si="33"/>
        <v>6.72</v>
      </c>
      <c r="U55" s="270">
        <f t="shared" si="33"/>
        <v>6.72</v>
      </c>
      <c r="V55" s="270">
        <f t="shared" si="33"/>
        <v>6.72</v>
      </c>
      <c r="W55" s="270">
        <f t="shared" si="33"/>
        <v>0</v>
      </c>
      <c r="X55" s="270">
        <f t="shared" si="33"/>
        <v>0</v>
      </c>
      <c r="Y55" s="270">
        <f t="shared" si="33"/>
        <v>6.72</v>
      </c>
      <c r="Z55" s="270">
        <f t="shared" si="33"/>
        <v>6.72</v>
      </c>
      <c r="AA55" s="270">
        <f t="shared" si="33"/>
        <v>6.72</v>
      </c>
      <c r="AB55" s="270">
        <f t="shared" si="33"/>
        <v>6.72</v>
      </c>
      <c r="AC55" s="270">
        <f t="shared" si="33"/>
        <v>6.72</v>
      </c>
      <c r="AD55" s="270">
        <f t="shared" si="33"/>
        <v>0</v>
      </c>
      <c r="AE55" s="270">
        <f t="shared" si="33"/>
        <v>0</v>
      </c>
      <c r="AF55" s="270">
        <f t="shared" si="33"/>
        <v>6.72</v>
      </c>
      <c r="AG55" s="270">
        <f t="shared" si="33"/>
        <v>6.72</v>
      </c>
      <c r="AH55" s="270">
        <f t="shared" si="33"/>
        <v>6.72</v>
      </c>
      <c r="AI55" s="270">
        <f t="shared" si="33"/>
        <v>6.72</v>
      </c>
      <c r="AJ55" s="270">
        <f t="shared" si="33"/>
        <v>6.72</v>
      </c>
      <c r="AK55" s="270">
        <f t="shared" si="33"/>
        <v>0</v>
      </c>
      <c r="AL55" s="270">
        <f t="shared" si="33"/>
        <v>0</v>
      </c>
      <c r="AM55" s="271">
        <f t="shared" si="20"/>
        <v>134.4</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
      </c>
      <c r="I66" s="279" t="str">
        <f t="shared" ref="I66:AL66" si="44">IF(OR(I53="",I53=0),"",ROUND(I53,2)&amp;" TZ/FR")</f>
        <v>8,4 TZ/FR</v>
      </c>
      <c r="J66" s="279" t="str">
        <f t="shared" si="44"/>
        <v/>
      </c>
      <c r="K66" s="279" t="str">
        <f t="shared" si="44"/>
        <v>8,4 TZ/FR</v>
      </c>
      <c r="L66" s="279" t="str">
        <f t="shared" si="44"/>
        <v>8,4 TZ/FR</v>
      </c>
      <c r="M66" s="279" t="str">
        <f t="shared" si="44"/>
        <v>8,4 TZ/FR</v>
      </c>
      <c r="N66" s="279" t="str">
        <f t="shared" si="44"/>
        <v>8,4 TZ/FR</v>
      </c>
      <c r="O66" s="279" t="str">
        <f t="shared" si="44"/>
        <v>8,4 TZ/FR</v>
      </c>
      <c r="P66" s="279" t="str">
        <f t="shared" si="44"/>
        <v>8,4 TZ/FR</v>
      </c>
      <c r="Q66" s="279" t="str">
        <f t="shared" si="44"/>
        <v/>
      </c>
      <c r="R66" s="279" t="str">
        <f t="shared" si="44"/>
        <v>8,4 TZ/FR</v>
      </c>
      <c r="S66" s="279" t="str">
        <f t="shared" si="44"/>
        <v>8,4 TZ/FR</v>
      </c>
      <c r="T66" s="279" t="str">
        <f t="shared" si="44"/>
        <v>8,4 TZ/FR</v>
      </c>
      <c r="U66" s="279" t="str">
        <f t="shared" si="44"/>
        <v>8,4 TZ/FR</v>
      </c>
      <c r="V66" s="279" t="str">
        <f t="shared" si="44"/>
        <v>8,4 TZ/FR</v>
      </c>
      <c r="W66" s="279" t="str">
        <f t="shared" si="44"/>
        <v>8,4 TZ/FR</v>
      </c>
      <c r="X66" s="279" t="str">
        <f t="shared" si="44"/>
        <v/>
      </c>
      <c r="Y66" s="279" t="str">
        <f t="shared" si="44"/>
        <v>8,4 TZ/FR</v>
      </c>
      <c r="Z66" s="279" t="str">
        <f t="shared" si="44"/>
        <v>8,4 TZ/FR</v>
      </c>
      <c r="AA66" s="279" t="str">
        <f t="shared" si="44"/>
        <v>8,4 TZ/FR</v>
      </c>
      <c r="AB66" s="279" t="str">
        <f t="shared" si="44"/>
        <v>8,4 TZ/FR</v>
      </c>
      <c r="AC66" s="279" t="str">
        <f t="shared" si="44"/>
        <v>8,4 TZ/FR</v>
      </c>
      <c r="AD66" s="279" t="str">
        <f t="shared" si="44"/>
        <v>8,4 TZ/FR</v>
      </c>
      <c r="AE66" s="279" t="str">
        <f t="shared" si="44"/>
        <v/>
      </c>
      <c r="AF66" s="279" t="str">
        <f t="shared" si="44"/>
        <v>8,4 TZ/FR</v>
      </c>
      <c r="AG66" s="279" t="str">
        <f t="shared" si="44"/>
        <v>8,4 TZ/FR</v>
      </c>
      <c r="AH66" s="279" t="str">
        <f t="shared" si="44"/>
        <v>8,4 TZ/FR</v>
      </c>
      <c r="AI66" s="279" t="str">
        <f t="shared" si="44"/>
        <v>8,4 TZ/FR</v>
      </c>
      <c r="AJ66" s="279" t="str">
        <f t="shared" si="44"/>
        <v>8,4 TZ/FR</v>
      </c>
      <c r="AK66" s="279" t="str">
        <f t="shared" si="44"/>
        <v>8,4 TZ/FR</v>
      </c>
      <c r="AL66" s="279" t="str">
        <f t="shared" si="44"/>
        <v/>
      </c>
      <c r="AM66" s="280" t="str">
        <f>ROUND(AM52,2)&amp;" TZ/FR"</f>
        <v>168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
      </c>
      <c r="I68" s="279" t="str">
        <f t="shared" ref="I68:AL68" si="46">IF(OR(I55="",I55=0),"","FREI")</f>
        <v/>
      </c>
      <c r="J68" s="279" t="str">
        <f t="shared" si="46"/>
        <v/>
      </c>
      <c r="K68" s="279" t="str">
        <f t="shared" si="46"/>
        <v>FREI</v>
      </c>
      <c r="L68" s="279" t="str">
        <f t="shared" si="46"/>
        <v>FREI</v>
      </c>
      <c r="M68" s="279" t="str">
        <f t="shared" si="46"/>
        <v>FREI</v>
      </c>
      <c r="N68" s="279" t="str">
        <f t="shared" si="46"/>
        <v>FREI</v>
      </c>
      <c r="O68" s="279" t="str">
        <f t="shared" si="46"/>
        <v>FREI</v>
      </c>
      <c r="P68" s="279" t="str">
        <f t="shared" si="46"/>
        <v/>
      </c>
      <c r="Q68" s="279" t="str">
        <f t="shared" si="46"/>
        <v/>
      </c>
      <c r="R68" s="279" t="str">
        <f t="shared" si="46"/>
        <v>FREI</v>
      </c>
      <c r="S68" s="279" t="str">
        <f t="shared" si="46"/>
        <v>FREI</v>
      </c>
      <c r="T68" s="279" t="str">
        <f t="shared" si="46"/>
        <v>FREI</v>
      </c>
      <c r="U68" s="279" t="str">
        <f t="shared" si="46"/>
        <v>FREI</v>
      </c>
      <c r="V68" s="279" t="str">
        <f t="shared" si="46"/>
        <v>FREI</v>
      </c>
      <c r="W68" s="279" t="str">
        <f t="shared" si="46"/>
        <v/>
      </c>
      <c r="X68" s="279" t="str">
        <f t="shared" si="46"/>
        <v/>
      </c>
      <c r="Y68" s="279" t="str">
        <f t="shared" si="46"/>
        <v>FREI</v>
      </c>
      <c r="Z68" s="279" t="str">
        <f t="shared" si="46"/>
        <v>FREI</v>
      </c>
      <c r="AA68" s="279" t="str">
        <f t="shared" si="46"/>
        <v>FREI</v>
      </c>
      <c r="AB68" s="279" t="str">
        <f t="shared" si="46"/>
        <v>FREI</v>
      </c>
      <c r="AC68" s="279" t="str">
        <f t="shared" si="46"/>
        <v>FREI</v>
      </c>
      <c r="AD68" s="279" t="str">
        <f t="shared" si="46"/>
        <v/>
      </c>
      <c r="AE68" s="279" t="str">
        <f t="shared" si="46"/>
        <v/>
      </c>
      <c r="AF68" s="279" t="str">
        <f t="shared" si="46"/>
        <v>FREI</v>
      </c>
      <c r="AG68" s="279" t="str">
        <f t="shared" si="46"/>
        <v>FREI</v>
      </c>
      <c r="AH68" s="279" t="str">
        <f t="shared" si="46"/>
        <v>FREI</v>
      </c>
      <c r="AI68" s="279" t="str">
        <f t="shared" si="46"/>
        <v>FREI</v>
      </c>
      <c r="AJ68" s="279" t="str">
        <f t="shared" si="46"/>
        <v>FREI</v>
      </c>
      <c r="AK68" s="279" t="str">
        <f t="shared" si="46"/>
        <v/>
      </c>
      <c r="AL68" s="279" t="str">
        <f t="shared" si="46"/>
        <v/>
      </c>
      <c r="AM68" s="280"/>
      <c r="AN68" s="272"/>
    </row>
    <row r="69" spans="2:40" ht="12.75" hidden="1" customHeight="1" x14ac:dyDescent="0.2">
      <c r="B69" s="256"/>
      <c r="C69" s="257"/>
      <c r="D69" s="250"/>
      <c r="E69" s="250"/>
      <c r="F69" s="281"/>
      <c r="G69" s="282" t="s">
        <v>132</v>
      </c>
      <c r="H69" s="283" t="str">
        <f t="shared" ref="H69:AL69" si="47">_xlfn.TEXTJOIN(";",TRUE,H56,H57,H58,H59,H60,H61,H62,H63,H64,H68)</f>
        <v/>
      </c>
      <c r="I69" s="283" t="str">
        <f t="shared" si="47"/>
        <v/>
      </c>
      <c r="J69" s="283" t="str">
        <f t="shared" si="47"/>
        <v/>
      </c>
      <c r="K69" s="283" t="str">
        <f t="shared" si="47"/>
        <v>FREI</v>
      </c>
      <c r="L69" s="283" t="str">
        <f>_xlfn.TEXTJOIN(";",TRUE,L56,L57,L58,L59,L60,L61,L62,L63,L64,L68)</f>
        <v>FREI</v>
      </c>
      <c r="M69" s="283" t="str">
        <f t="shared" si="47"/>
        <v>FREI</v>
      </c>
      <c r="N69" s="283" t="str">
        <f t="shared" si="47"/>
        <v>FREI</v>
      </c>
      <c r="O69" s="283" t="str">
        <f t="shared" si="47"/>
        <v>FREI</v>
      </c>
      <c r="P69" s="283" t="str">
        <f t="shared" si="47"/>
        <v/>
      </c>
      <c r="Q69" s="283" t="str">
        <f t="shared" si="47"/>
        <v/>
      </c>
      <c r="R69" s="283" t="str">
        <f t="shared" si="47"/>
        <v>FREI</v>
      </c>
      <c r="S69" s="283" t="str">
        <f t="shared" si="47"/>
        <v>FREI</v>
      </c>
      <c r="T69" s="283" t="str">
        <f t="shared" si="47"/>
        <v>FREI</v>
      </c>
      <c r="U69" s="283" t="str">
        <f t="shared" si="47"/>
        <v>FREI</v>
      </c>
      <c r="V69" s="283" t="str">
        <f t="shared" si="47"/>
        <v>FREI</v>
      </c>
      <c r="W69" s="283" t="str">
        <f t="shared" si="47"/>
        <v/>
      </c>
      <c r="X69" s="283" t="str">
        <f t="shared" si="47"/>
        <v/>
      </c>
      <c r="Y69" s="283" t="str">
        <f t="shared" si="47"/>
        <v>FREI</v>
      </c>
      <c r="Z69" s="283" t="str">
        <f t="shared" si="47"/>
        <v>FREI</v>
      </c>
      <c r="AA69" s="283" t="str">
        <f t="shared" si="47"/>
        <v>FREI</v>
      </c>
      <c r="AB69" s="283" t="str">
        <f t="shared" si="47"/>
        <v>FREI</v>
      </c>
      <c r="AC69" s="283" t="str">
        <f t="shared" si="47"/>
        <v>FREI</v>
      </c>
      <c r="AD69" s="283" t="str">
        <f t="shared" si="47"/>
        <v/>
      </c>
      <c r="AE69" s="283" t="str">
        <f t="shared" si="47"/>
        <v/>
      </c>
      <c r="AF69" s="283" t="str">
        <f t="shared" si="47"/>
        <v>FREI</v>
      </c>
      <c r="AG69" s="283" t="str">
        <f t="shared" si="47"/>
        <v>FREI</v>
      </c>
      <c r="AH69" s="283" t="str">
        <f t="shared" si="47"/>
        <v>FREI</v>
      </c>
      <c r="AI69" s="283" t="str">
        <f t="shared" si="47"/>
        <v>FREI</v>
      </c>
      <c r="AJ69" s="283" t="str">
        <f t="shared" si="47"/>
        <v>FREI</v>
      </c>
      <c r="AK69" s="283" t="str">
        <f t="shared" si="47"/>
        <v/>
      </c>
      <c r="AL69" s="283" t="str">
        <f t="shared" si="47"/>
        <v/>
      </c>
      <c r="AM69" s="280"/>
      <c r="AN69" s="272"/>
    </row>
    <row r="70" spans="2:40" ht="12.75" hidden="1" customHeight="1" x14ac:dyDescent="0.2">
      <c r="B70" s="256"/>
      <c r="C70" s="257"/>
      <c r="D70" s="250"/>
      <c r="E70" s="250"/>
      <c r="F70" s="281"/>
      <c r="G70" s="278" t="s">
        <v>158</v>
      </c>
      <c r="H70" s="284" cm="1">
        <f t="array" ref="H70">IF(ISERROR(_xlfn.TEXTSPLIT(H69,,";",TRUE)),0,_xlfn.TEXTSPLIT(H69,,";",TRUE))</f>
        <v>0</v>
      </c>
      <c r="I70" s="284" cm="1">
        <f t="array" ref="I70">IF(ISERROR(_xlfn.TEXTSPLIT(I69,,";",TRUE)),0,_xlfn.TEXTSPLIT(I69,,";",TRUE))</f>
        <v>0</v>
      </c>
      <c r="J70" s="284" cm="1">
        <f t="array" ref="J70">IF(ISERROR(_xlfn.TEXTSPLIT(J69,,";",TRUE)),0,_xlfn.TEXTSPLIT(J69,,";",TRUE))</f>
        <v>0</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cm="1">
        <f t="array" ref="P70">IF(ISERROR(_xlfn.TEXTSPLIT(P69,,";",TRUE)),0,_xlfn.TEXTSPLIT(P69,,";",TRUE))</f>
        <v>0</v>
      </c>
      <c r="Q70" s="284" cm="1">
        <f t="array" ref="Q70">IF(ISERROR(_xlfn.TEXTSPLIT(Q69,,";",TRUE)),0,_xlfn.TEXTSPLIT(Q69,,";",TRUE))</f>
        <v>0</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cm="1">
        <f t="array" ref="W70">IF(ISERROR(_xlfn.TEXTSPLIT(W69,,";",TRUE)),0,_xlfn.TEXTSPLIT(W69,,";",TRUE))</f>
        <v>0</v>
      </c>
      <c r="X70" s="284" cm="1">
        <f t="array" ref="X70">IF(ISERROR(_xlfn.TEXTSPLIT(X69,,";",TRUE)),0,_xlfn.TEXTSPLIT(X69,,";",TRUE))</f>
        <v>0</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cm="1">
        <f t="array" ref="AD70">IF(ISERROR(_xlfn.TEXTSPLIT(AD69,,";",TRUE)),0,_xlfn.TEXTSPLIT(AD69,,";",TRUE))</f>
        <v>0</v>
      </c>
      <c r="AE70" s="284" cm="1">
        <f t="array" ref="AE70">IF(ISERROR(_xlfn.TEXTSPLIT(AE69,,";",TRUE)),0,_xlfn.TEXTSPLIT(AE69,,";",TRUE))</f>
        <v>0</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cm="1">
        <f t="array" ref="AK70">IF(ISERROR(_xlfn.TEXTSPLIT(AK69,,";",TRUE)),0,_xlfn.TEXTSPLIT(AK69,,";",TRUE))</f>
        <v>0</v>
      </c>
      <c r="AL70" s="284" cm="1">
        <f t="array" ref="AL70">IF(ISERROR(_xlfn.TEXTSPLIT(AL69,,";",TRUE)),0,_xlfn.TEXTSPLIT(AL69,,";",TRUE))</f>
        <v>0</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-981.12000000000285</v>
      </c>
      <c r="I74" s="289">
        <f t="shared" ref="I74:AL74" si="49">H74+I26-I14</f>
        <v>-981.12000000000285</v>
      </c>
      <c r="J74" s="289">
        <f t="shared" si="49"/>
        <v>-981.12000000000285</v>
      </c>
      <c r="K74" s="289">
        <f t="shared" si="49"/>
        <v>-987.84000000000287</v>
      </c>
      <c r="L74" s="289">
        <f t="shared" si="49"/>
        <v>-994.5600000000029</v>
      </c>
      <c r="M74" s="289">
        <f t="shared" si="49"/>
        <v>-1001.2800000000029</v>
      </c>
      <c r="N74" s="289">
        <f t="shared" si="49"/>
        <v>-1008.000000000003</v>
      </c>
      <c r="O74" s="289">
        <f t="shared" si="49"/>
        <v>-1014.720000000003</v>
      </c>
      <c r="P74" s="289">
        <f t="shared" si="49"/>
        <v>-1014.720000000003</v>
      </c>
      <c r="Q74" s="289">
        <f t="shared" si="49"/>
        <v>-1014.720000000003</v>
      </c>
      <c r="R74" s="289">
        <f t="shared" si="49"/>
        <v>-1021.440000000003</v>
      </c>
      <c r="S74" s="289">
        <f t="shared" si="49"/>
        <v>-1028.160000000003</v>
      </c>
      <c r="T74" s="289">
        <f t="shared" si="49"/>
        <v>-1034.8800000000031</v>
      </c>
      <c r="U74" s="289">
        <f t="shared" si="49"/>
        <v>-1041.6000000000031</v>
      </c>
      <c r="V74" s="289">
        <f t="shared" si="49"/>
        <v>-1048.3200000000031</v>
      </c>
      <c r="W74" s="289">
        <f t="shared" si="49"/>
        <v>-1048.3200000000031</v>
      </c>
      <c r="X74" s="289">
        <f t="shared" si="49"/>
        <v>-1048.3200000000031</v>
      </c>
      <c r="Y74" s="289">
        <f t="shared" si="49"/>
        <v>-1055.0400000000031</v>
      </c>
      <c r="Z74" s="289">
        <f t="shared" si="49"/>
        <v>-1061.7600000000032</v>
      </c>
      <c r="AA74" s="289">
        <f t="shared" si="49"/>
        <v>-1068.4800000000032</v>
      </c>
      <c r="AB74" s="289">
        <f t="shared" si="49"/>
        <v>-1075.2000000000032</v>
      </c>
      <c r="AC74" s="289">
        <f t="shared" si="49"/>
        <v>-1081.9200000000033</v>
      </c>
      <c r="AD74" s="289">
        <f t="shared" si="49"/>
        <v>-1081.9200000000033</v>
      </c>
      <c r="AE74" s="289">
        <f t="shared" si="49"/>
        <v>-1081.9200000000033</v>
      </c>
      <c r="AF74" s="289">
        <f t="shared" si="49"/>
        <v>-1088.6400000000033</v>
      </c>
      <c r="AG74" s="289">
        <f t="shared" si="49"/>
        <v>-1095.3600000000033</v>
      </c>
      <c r="AH74" s="289">
        <f t="shared" si="49"/>
        <v>-1102.0800000000033</v>
      </c>
      <c r="AI74" s="289">
        <f t="shared" si="49"/>
        <v>-1108.8000000000034</v>
      </c>
      <c r="AJ74" s="289">
        <f t="shared" si="49"/>
        <v>-1115.5200000000034</v>
      </c>
      <c r="AK74" s="289">
        <f t="shared" si="49"/>
        <v>-1115.5200000000034</v>
      </c>
      <c r="AL74" s="289">
        <f t="shared" si="49"/>
        <v>-1115.5200000000034</v>
      </c>
      <c r="AM74" s="290">
        <f>AL74</f>
        <v>-1115.5200000000034</v>
      </c>
    </row>
    <row r="75" spans="2:40" ht="12.75" customHeight="1" x14ac:dyDescent="0.2">
      <c r="B75" s="250"/>
      <c r="C75" s="11"/>
      <c r="D75" s="250"/>
      <c r="E75" s="250"/>
      <c r="F75" s="574"/>
      <c r="G75" s="203" t="s">
        <v>71</v>
      </c>
      <c r="H75" s="291">
        <f>H74/TaginSt</f>
        <v>-116.80000000000034</v>
      </c>
      <c r="I75" s="247">
        <f t="shared" ref="I75:AL75" si="50">I74/TaginSt</f>
        <v>-116.80000000000034</v>
      </c>
      <c r="J75" s="247">
        <f t="shared" si="50"/>
        <v>-116.80000000000034</v>
      </c>
      <c r="K75" s="247">
        <f t="shared" si="50"/>
        <v>-117.60000000000034</v>
      </c>
      <c r="L75" s="247">
        <f t="shared" si="50"/>
        <v>-118.40000000000035</v>
      </c>
      <c r="M75" s="247">
        <f t="shared" si="50"/>
        <v>-119.20000000000034</v>
      </c>
      <c r="N75" s="247">
        <f t="shared" si="50"/>
        <v>-120.00000000000034</v>
      </c>
      <c r="O75" s="247">
        <f t="shared" si="50"/>
        <v>-120.80000000000035</v>
      </c>
      <c r="P75" s="247">
        <f t="shared" si="50"/>
        <v>-120.80000000000035</v>
      </c>
      <c r="Q75" s="247">
        <f t="shared" si="50"/>
        <v>-120.80000000000035</v>
      </c>
      <c r="R75" s="247">
        <f t="shared" si="50"/>
        <v>-121.60000000000035</v>
      </c>
      <c r="S75" s="247">
        <f t="shared" si="50"/>
        <v>-122.40000000000036</v>
      </c>
      <c r="T75" s="247">
        <f t="shared" si="50"/>
        <v>-123.20000000000036</v>
      </c>
      <c r="U75" s="247">
        <f t="shared" si="50"/>
        <v>-124.00000000000037</v>
      </c>
      <c r="V75" s="247">
        <f t="shared" si="50"/>
        <v>-124.80000000000037</v>
      </c>
      <c r="W75" s="247">
        <f t="shared" si="50"/>
        <v>-124.80000000000037</v>
      </c>
      <c r="X75" s="247">
        <f t="shared" si="50"/>
        <v>-124.80000000000037</v>
      </c>
      <c r="Y75" s="247">
        <f t="shared" si="50"/>
        <v>-125.60000000000036</v>
      </c>
      <c r="Z75" s="247">
        <f t="shared" si="50"/>
        <v>-126.40000000000038</v>
      </c>
      <c r="AA75" s="247">
        <f t="shared" si="50"/>
        <v>-127.20000000000037</v>
      </c>
      <c r="AB75" s="247">
        <f t="shared" si="50"/>
        <v>-128.00000000000037</v>
      </c>
      <c r="AC75" s="247">
        <f t="shared" si="50"/>
        <v>-128.80000000000038</v>
      </c>
      <c r="AD75" s="247">
        <f t="shared" si="50"/>
        <v>-128.80000000000038</v>
      </c>
      <c r="AE75" s="247">
        <f t="shared" si="50"/>
        <v>-128.80000000000038</v>
      </c>
      <c r="AF75" s="247">
        <f t="shared" si="50"/>
        <v>-129.60000000000039</v>
      </c>
      <c r="AG75" s="247">
        <f t="shared" si="50"/>
        <v>-130.40000000000038</v>
      </c>
      <c r="AH75" s="247">
        <f t="shared" si="50"/>
        <v>-131.20000000000039</v>
      </c>
      <c r="AI75" s="247">
        <f t="shared" si="50"/>
        <v>-132.0000000000004</v>
      </c>
      <c r="AJ75" s="247">
        <f t="shared" si="50"/>
        <v>-132.80000000000041</v>
      </c>
      <c r="AK75" s="247">
        <f t="shared" si="50"/>
        <v>-132.80000000000041</v>
      </c>
      <c r="AL75" s="247">
        <f t="shared" si="50"/>
        <v>-132.80000000000041</v>
      </c>
      <c r="AM75" s="292">
        <f>AL75</f>
        <v>-132.80000000000041</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t="s">
        <v>208</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k17a5nlQt64dEu0f2NZKdsdX8GqEJTCML9Yyh2WRyLAJGMVI/gT0R4aAqOCW/xXCD/xzd1qK2glqS/LB3SQAew==" saltValue="Jhllhjz834fpELEv9j1hqg==" spinCount="100000" sheet="1" objects="1" scenarios="1"/>
  <mergeCells count="29">
    <mergeCell ref="AO42:AO53"/>
    <mergeCell ref="F42:F55"/>
    <mergeCell ref="F78:G78"/>
    <mergeCell ref="F14:F15"/>
    <mergeCell ref="B17:B18"/>
    <mergeCell ref="C17:C18"/>
    <mergeCell ref="F26:F28"/>
    <mergeCell ref="F30:F38"/>
    <mergeCell ref="F56:F68"/>
    <mergeCell ref="F74:F75"/>
    <mergeCell ref="F17:F24"/>
    <mergeCell ref="F41:G41"/>
    <mergeCell ref="D79:E91"/>
    <mergeCell ref="F79:G79"/>
    <mergeCell ref="F80:G80"/>
    <mergeCell ref="F81:G81"/>
    <mergeCell ref="F82:G82"/>
    <mergeCell ref="F83:G83"/>
    <mergeCell ref="F84:G84"/>
    <mergeCell ref="F85:G85"/>
    <mergeCell ref="F86:G86"/>
    <mergeCell ref="F87:G87"/>
    <mergeCell ref="F94:G94"/>
    <mergeCell ref="F88:G88"/>
    <mergeCell ref="F89:G89"/>
    <mergeCell ref="F90:G90"/>
    <mergeCell ref="F91:G91"/>
    <mergeCell ref="F92:G92"/>
    <mergeCell ref="F93:G93"/>
  </mergeCells>
  <conditionalFormatting sqref="H11:AL12">
    <cfRule type="expression" dxfId="73" priority="10">
      <formula>OR(WEEKDAY(H$12,2)=7,IF(ISERROR(VLOOKUP(H$12,Feiertagsanspruch,1,FALSE)),0,VLOOKUP(H$12,Feiertagsanspruch,1,FALSE)))</formula>
    </cfRule>
  </conditionalFormatting>
  <conditionalFormatting sqref="H17:AL24">
    <cfRule type="expression" dxfId="72" priority="11">
      <formula>OR(WEEKDAY(H$12,2)=7,IF(ISERROR(VLOOKUP(H$12,Feiertagsanspruch,1,FALSE)),0,VLOOKUP(H$12,Feiertagsanspruch,1,FALSE)))</formula>
    </cfRule>
  </conditionalFormatting>
  <conditionalFormatting sqref="H30:AL32 H35:AL38">
    <cfRule type="expression" dxfId="71" priority="4">
      <formula>H$14=0</formula>
    </cfRule>
  </conditionalFormatting>
  <conditionalFormatting sqref="H33:AL34">
    <cfRule type="expression" dxfId="70" priority="1">
      <formula>H$9=0</formula>
    </cfRule>
  </conditionalFormatting>
  <conditionalFormatting sqref="H74:AL74">
    <cfRule type="cellIs" dxfId="69" priority="8" stopIfTrue="1" operator="lessThan">
      <formula>-20</formula>
    </cfRule>
    <cfRule type="cellIs" dxfId="68" priority="9" stopIfTrue="1" operator="greaterThan">
      <formula>50</formula>
    </cfRule>
  </conditionalFormatting>
  <conditionalFormatting sqref="H75:AL75">
    <cfRule type="cellIs" dxfId="67" priority="6" stopIfTrue="1" operator="lessThan">
      <formula>-2.38095238095238</formula>
    </cfRule>
    <cfRule type="cellIs" dxfId="66" priority="7" stopIfTrue="1" operator="greaterThan">
      <formula>5.95238095238095</formula>
    </cfRule>
  </conditionalFormatting>
  <dataValidations count="13">
    <dataValidation allowBlank="1" sqref="H29:AL29" xr:uid="{EDA9B6A4-8EFA-4225-AB84-B1A664E62078}"/>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37CB611F-2461-4A7D-AD6D-6CCEE3EC25A8}">
      <formula1>AND(H35&lt;=H6,H35&gt;0,SUM(H30:H38)&lt;=H6,COUNTA(H29:H37)&lt;=MaxAbwesenheitenproTag,OR(H31=""))</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567B3247-CB4F-4157-B55C-C2ADF7256729}">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C1EF2A7-A0DB-4B59-8FCC-56C2AEE4FFC0}">
      <formula1>AND(J31&lt;=100, J31&gt;0,SUM(J30:J38)&lt;=J6,COUNTA(J30:J38)&lt;=MaxAbwesenheitenproTag,OR(AND(J30="",J32="",J33="",J35="",J36="",J37="",J38="")))</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1F3DD35D-8DA6-4BF1-8140-3B42152DEA1F}">
      <formula1>AND(J35&lt;=J6,J35&gt;0,SUM(J30:J38)&lt;=J6,COUNTA(J29:J37)&lt;=MaxAbwesenheitenproTag,OR(J31=""))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47D3DD02-0A9C-4019-96B2-4BA457B47F18}">
      <formula1>AND(H36&lt;=H6,H36&gt;0,SUM(H30:H38)&lt;=H6,COUNTA(H30:H38)&lt;=MaxAbwesenheitenproTag,OR(H31=""))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8227875E-8B16-4E02-81D0-C927397E843D}">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52B2497C-30C6-4FC2-8242-DC32D21D0B4A}">
      <formula1>AND(H38&lt;=H6, H38&gt;0,SUM(H30:H38)&lt;=H6,COUNTA(H30:H38)&lt;=MaxAbwesenheitenproTag,OR(H31=""))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FC00CAC6-9D17-4ED6-84CB-DCF2A7FAC029}">
      <formula1>AND(J36&lt;=J6,J36&gt;0,SUM(J30:J38)&lt;=J6,COUNTA(J30:J38)&lt;=MaxAbwesenheitenproTag,OR(J31=""))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F481206B-4366-447E-8A60-B2DAE5BF8798}">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8EC3B088-25F3-4B54-900C-A94ECCE9B3BC}">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E0A5E301-5A18-4847-B12C-C5016FB8F304}">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1CCE1678-CD7F-4C5B-A7A2-F6F165D71C53}">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4161DCC8-DB64-4B30-BFE4-DA2A1F7B0D34}">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1D4F-26A0-4888-84AD-0262667ECDC6}">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171</v>
      </c>
      <c r="H3" s="171">
        <f t="shared" ref="H3:AI3" si="2">IF(OR(WEEKDAY(H$12,2)=7,H1&gt;0),0,TaginSt-H14-H4)</f>
        <v>0</v>
      </c>
      <c r="I3" s="171">
        <f t="shared" si="2"/>
        <v>0</v>
      </c>
      <c r="J3" s="171">
        <f t="shared" si="2"/>
        <v>0</v>
      </c>
      <c r="K3" s="171">
        <f t="shared" si="2"/>
        <v>0</v>
      </c>
      <c r="L3" s="171">
        <f t="shared" si="2"/>
        <v>0</v>
      </c>
      <c r="M3" s="171">
        <f t="shared" si="2"/>
        <v>8.4</v>
      </c>
      <c r="N3" s="171">
        <f t="shared" si="2"/>
        <v>0</v>
      </c>
      <c r="O3" s="171">
        <f t="shared" si="2"/>
        <v>0</v>
      </c>
      <c r="P3" s="171">
        <f t="shared" si="2"/>
        <v>0</v>
      </c>
      <c r="Q3" s="171">
        <f t="shared" si="2"/>
        <v>0</v>
      </c>
      <c r="R3" s="171">
        <f t="shared" si="2"/>
        <v>0</v>
      </c>
      <c r="S3" s="171">
        <f t="shared" si="2"/>
        <v>0</v>
      </c>
      <c r="T3" s="171">
        <f t="shared" si="2"/>
        <v>8.4</v>
      </c>
      <c r="U3" s="171">
        <f t="shared" si="2"/>
        <v>0</v>
      </c>
      <c r="V3" s="171">
        <f t="shared" si="2"/>
        <v>0</v>
      </c>
      <c r="W3" s="171">
        <f t="shared" si="2"/>
        <v>0</v>
      </c>
      <c r="X3" s="171">
        <f t="shared" si="2"/>
        <v>0</v>
      </c>
      <c r="Y3" s="171">
        <f t="shared" si="2"/>
        <v>0</v>
      </c>
      <c r="Z3" s="171">
        <f t="shared" si="2"/>
        <v>0</v>
      </c>
      <c r="AA3" s="171">
        <f t="shared" si="2"/>
        <v>8.4</v>
      </c>
      <c r="AB3" s="171">
        <f t="shared" si="2"/>
        <v>0</v>
      </c>
      <c r="AC3" s="171">
        <f t="shared" si="2"/>
        <v>0</v>
      </c>
      <c r="AD3" s="171">
        <f t="shared" si="2"/>
        <v>0</v>
      </c>
      <c r="AE3" s="171">
        <f t="shared" si="2"/>
        <v>0</v>
      </c>
      <c r="AF3" s="171">
        <f t="shared" si="2"/>
        <v>0</v>
      </c>
      <c r="AG3" s="171">
        <f t="shared" si="2"/>
        <v>0</v>
      </c>
      <c r="AH3" s="171">
        <f t="shared" si="2"/>
        <v>8.4</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1.6800000000000006</v>
      </c>
      <c r="I4" s="170">
        <f t="shared" si="3"/>
        <v>1.6800000000000006</v>
      </c>
      <c r="J4" s="170">
        <f t="shared" si="3"/>
        <v>1.6800000000000006</v>
      </c>
      <c r="K4" s="170">
        <f t="shared" si="3"/>
        <v>1.6800000000000006</v>
      </c>
      <c r="L4" s="170">
        <f t="shared" si="3"/>
        <v>1.6800000000000006</v>
      </c>
      <c r="M4" s="170">
        <f t="shared" si="3"/>
        <v>0</v>
      </c>
      <c r="N4" s="170">
        <f t="shared" si="3"/>
        <v>0</v>
      </c>
      <c r="O4" s="170">
        <f t="shared" si="3"/>
        <v>1.6800000000000006</v>
      </c>
      <c r="P4" s="170">
        <f t="shared" si="3"/>
        <v>1.6800000000000006</v>
      </c>
      <c r="Q4" s="170">
        <f t="shared" si="3"/>
        <v>1.6800000000000006</v>
      </c>
      <c r="R4" s="170">
        <f t="shared" si="3"/>
        <v>1.6800000000000006</v>
      </c>
      <c r="S4" s="170">
        <f t="shared" si="3"/>
        <v>1.6800000000000006</v>
      </c>
      <c r="T4" s="170">
        <f t="shared" si="3"/>
        <v>0</v>
      </c>
      <c r="U4" s="170">
        <f t="shared" si="3"/>
        <v>0</v>
      </c>
      <c r="V4" s="170">
        <f t="shared" si="3"/>
        <v>1.6800000000000006</v>
      </c>
      <c r="W4" s="170">
        <f t="shared" si="3"/>
        <v>1.6800000000000006</v>
      </c>
      <c r="X4" s="170">
        <f t="shared" si="3"/>
        <v>1.6800000000000006</v>
      </c>
      <c r="Y4" s="170">
        <f t="shared" si="3"/>
        <v>1.6800000000000006</v>
      </c>
      <c r="Z4" s="170">
        <f t="shared" si="3"/>
        <v>1.6800000000000006</v>
      </c>
      <c r="AA4" s="170">
        <f t="shared" si="3"/>
        <v>0</v>
      </c>
      <c r="AB4" s="170">
        <f t="shared" si="3"/>
        <v>0</v>
      </c>
      <c r="AC4" s="170">
        <f t="shared" si="3"/>
        <v>1.6800000000000006</v>
      </c>
      <c r="AD4" s="170">
        <f t="shared" si="3"/>
        <v>1.6800000000000006</v>
      </c>
      <c r="AE4" s="170">
        <f t="shared" si="3"/>
        <v>1.6800000000000006</v>
      </c>
      <c r="AF4" s="170">
        <f t="shared" si="3"/>
        <v>1.6800000000000006</v>
      </c>
      <c r="AG4" s="170">
        <f t="shared" si="3"/>
        <v>1.6800000000000006</v>
      </c>
      <c r="AH4" s="170">
        <f t="shared" si="3"/>
        <v>0</v>
      </c>
      <c r="AI4" s="170">
        <f t="shared" si="3"/>
        <v>0</v>
      </c>
      <c r="AJ4" s="170">
        <f t="shared" si="3"/>
        <v>1.6800000000000006</v>
      </c>
      <c r="AK4" s="170">
        <f t="shared" si="3"/>
        <v>1.6800000000000006</v>
      </c>
      <c r="AL4" s="170">
        <f t="shared" si="3"/>
        <v>0</v>
      </c>
      <c r="AM4" s="170">
        <f>SUM(H4:AL4)</f>
        <v>36.96</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0</v>
      </c>
      <c r="AM5" s="170"/>
    </row>
    <row r="6" spans="2:39" hidden="1" x14ac:dyDescent="0.2">
      <c r="D6" s="166"/>
      <c r="E6" s="166"/>
      <c r="F6" s="172" t="s">
        <v>7</v>
      </c>
      <c r="G6" s="173" t="s">
        <v>107</v>
      </c>
      <c r="H6" s="174">
        <f t="shared" ref="H6:AI6" si="5">IF(AND(H7=1,H9&gt;0,WEEKDAY(H12,2)&lt;6),(TaginSt-H1)/TaginSt,0)</f>
        <v>1</v>
      </c>
      <c r="I6" s="174">
        <f t="shared" si="5"/>
        <v>1</v>
      </c>
      <c r="J6" s="174">
        <f t="shared" si="5"/>
        <v>1</v>
      </c>
      <c r="K6" s="174">
        <f t="shared" si="5"/>
        <v>1</v>
      </c>
      <c r="L6" s="174">
        <f t="shared" si="5"/>
        <v>1</v>
      </c>
      <c r="M6" s="174">
        <f t="shared" si="5"/>
        <v>0</v>
      </c>
      <c r="N6" s="174">
        <f t="shared" si="5"/>
        <v>0</v>
      </c>
      <c r="O6" s="174">
        <f t="shared" si="5"/>
        <v>1</v>
      </c>
      <c r="P6" s="174">
        <f t="shared" si="5"/>
        <v>1</v>
      </c>
      <c r="Q6" s="174">
        <f t="shared" si="5"/>
        <v>1</v>
      </c>
      <c r="R6" s="174">
        <f t="shared" si="5"/>
        <v>1</v>
      </c>
      <c r="S6" s="174">
        <f t="shared" si="5"/>
        <v>1</v>
      </c>
      <c r="T6" s="174">
        <f t="shared" si="5"/>
        <v>0</v>
      </c>
      <c r="U6" s="174">
        <f t="shared" si="5"/>
        <v>0</v>
      </c>
      <c r="V6" s="174">
        <f t="shared" si="5"/>
        <v>1</v>
      </c>
      <c r="W6" s="174">
        <f t="shared" si="5"/>
        <v>1</v>
      </c>
      <c r="X6" s="174">
        <f t="shared" si="5"/>
        <v>1</v>
      </c>
      <c r="Y6" s="174">
        <f t="shared" si="5"/>
        <v>1</v>
      </c>
      <c r="Z6" s="174">
        <f t="shared" si="5"/>
        <v>1</v>
      </c>
      <c r="AA6" s="174">
        <f t="shared" si="5"/>
        <v>0</v>
      </c>
      <c r="AB6" s="174">
        <f t="shared" si="5"/>
        <v>0</v>
      </c>
      <c r="AC6" s="174">
        <f t="shared" si="5"/>
        <v>1</v>
      </c>
      <c r="AD6" s="174">
        <f t="shared" si="5"/>
        <v>1</v>
      </c>
      <c r="AE6" s="174">
        <f t="shared" si="5"/>
        <v>1</v>
      </c>
      <c r="AF6" s="174">
        <f t="shared" si="5"/>
        <v>1</v>
      </c>
      <c r="AG6" s="174">
        <f t="shared" si="5"/>
        <v>1</v>
      </c>
      <c r="AH6" s="174">
        <f t="shared" si="5"/>
        <v>0</v>
      </c>
      <c r="AI6" s="174">
        <f t="shared" si="5"/>
        <v>0</v>
      </c>
      <c r="AJ6" s="174">
        <f>IFERROR(IF(AND(AJ7=1,AJ9&gt;0,WEEKDAY(AJ12,2)&lt;6),(TaginSt-AJ1)/TaginSt,0),0)</f>
        <v>1</v>
      </c>
      <c r="AK6" s="174">
        <f>IFERROR(IF(AND(AK7=1,AK9&gt;0,WEEKDAY(AK12,2)&lt;6),(TaginSt-AK1)/TaginSt,0),0)</f>
        <v>1</v>
      </c>
      <c r="AL6" s="174">
        <f>IFERROR(IF(AND(AL7=1,AL9&gt;0,WEEKDAY(AL12,2)&lt;6),(TaginSt-AL1)/TaginSt,0),0)</f>
        <v>0</v>
      </c>
      <c r="AM6" s="175"/>
    </row>
    <row r="7" spans="2:39" hidden="1" x14ac:dyDescent="0.2">
      <c r="F7" s="176">
        <v>9</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September</v>
      </c>
      <c r="C11" s="184">
        <f>Jahr</f>
        <v>2025</v>
      </c>
      <c r="D11" s="166"/>
      <c r="E11" s="166"/>
      <c r="F11" s="185"/>
      <c r="G11" s="186"/>
      <c r="H11" s="187" t="str">
        <f>TEXT(H12,"TTT")</f>
        <v>Mo</v>
      </c>
      <c r="I11" s="188" t="str">
        <f>TEXT(I12,"TTT")</f>
        <v>Di</v>
      </c>
      <c r="J11" s="188" t="str">
        <f t="shared" ref="J11:L11" si="8">TEXT(J12,"TTT")</f>
        <v>Mi</v>
      </c>
      <c r="K11" s="188" t="str">
        <f t="shared" si="8"/>
        <v>Do</v>
      </c>
      <c r="L11" s="188" t="str">
        <f t="shared" si="8"/>
        <v>Fr</v>
      </c>
      <c r="M11" s="188" t="str">
        <f>TEXT(M12,"TTT")</f>
        <v>Sa</v>
      </c>
      <c r="N11" s="188" t="str">
        <f t="shared" ref="N11:AL11" si="9">TEXT(N12,"TTT")</f>
        <v>So</v>
      </c>
      <c r="O11" s="188" t="str">
        <f t="shared" si="9"/>
        <v>Mo</v>
      </c>
      <c r="P11" s="188" t="str">
        <f t="shared" si="9"/>
        <v>Di</v>
      </c>
      <c r="Q11" s="188" t="str">
        <f t="shared" si="9"/>
        <v>Mi</v>
      </c>
      <c r="R11" s="188" t="str">
        <f t="shared" si="9"/>
        <v>Do</v>
      </c>
      <c r="S11" s="188" t="str">
        <f t="shared" si="9"/>
        <v>Fr</v>
      </c>
      <c r="T11" s="188" t="str">
        <f t="shared" si="9"/>
        <v>Sa</v>
      </c>
      <c r="U11" s="188" t="str">
        <f t="shared" si="9"/>
        <v>So</v>
      </c>
      <c r="V11" s="188" t="str">
        <f t="shared" si="9"/>
        <v>Mo</v>
      </c>
      <c r="W11" s="188" t="str">
        <f t="shared" si="9"/>
        <v>Di</v>
      </c>
      <c r="X11" s="188" t="str">
        <f t="shared" si="9"/>
        <v>Mi</v>
      </c>
      <c r="Y11" s="188" t="str">
        <f t="shared" si="9"/>
        <v>Do</v>
      </c>
      <c r="Z11" s="188" t="str">
        <f t="shared" si="9"/>
        <v>Fr</v>
      </c>
      <c r="AA11" s="188" t="str">
        <f t="shared" si="9"/>
        <v>Sa</v>
      </c>
      <c r="AB11" s="188" t="str">
        <f t="shared" si="9"/>
        <v>So</v>
      </c>
      <c r="AC11" s="188" t="str">
        <f t="shared" si="9"/>
        <v>Mo</v>
      </c>
      <c r="AD11" s="188" t="str">
        <f t="shared" si="9"/>
        <v>Di</v>
      </c>
      <c r="AE11" s="188" t="str">
        <f t="shared" si="9"/>
        <v>Mi</v>
      </c>
      <c r="AF11" s="188" t="str">
        <f t="shared" si="9"/>
        <v>Do</v>
      </c>
      <c r="AG11" s="188" t="str">
        <f t="shared" si="9"/>
        <v>Fr</v>
      </c>
      <c r="AH11" s="188" t="str">
        <f t="shared" si="9"/>
        <v>Sa</v>
      </c>
      <c r="AI11" s="188" t="str">
        <f t="shared" si="9"/>
        <v>So</v>
      </c>
      <c r="AJ11" s="188" t="str">
        <f t="shared" si="9"/>
        <v>Mo</v>
      </c>
      <c r="AK11" s="188" t="str">
        <f t="shared" si="9"/>
        <v>Di</v>
      </c>
      <c r="AL11" s="188" t="str">
        <f t="shared" si="9"/>
        <v/>
      </c>
      <c r="AM11" s="188"/>
    </row>
    <row r="12" spans="2:39" ht="12.75" customHeight="1" thickBot="1" x14ac:dyDescent="0.25">
      <c r="B12" s="189" t="str">
        <f>Pfarrer</f>
        <v>Heinz Muster</v>
      </c>
      <c r="C12" s="190"/>
      <c r="D12" s="191"/>
      <c r="E12" s="191"/>
      <c r="F12" s="185"/>
      <c r="G12" s="192" t="s">
        <v>2</v>
      </c>
      <c r="H12" s="193">
        <f>DATE(C11,F7,1)</f>
        <v>44439</v>
      </c>
      <c r="I12" s="194">
        <f>DATE(C11,F7,2)</f>
        <v>44440</v>
      </c>
      <c r="J12" s="194">
        <f>DATE(C11,F7,3)</f>
        <v>44441</v>
      </c>
      <c r="K12" s="194">
        <f>DATE(C11,F7,4)</f>
        <v>44442</v>
      </c>
      <c r="L12" s="194">
        <f>DATE(C11,F7,5)</f>
        <v>44443</v>
      </c>
      <c r="M12" s="194">
        <f>DATE(C11,F7,6)</f>
        <v>44444</v>
      </c>
      <c r="N12" s="194">
        <f>DATE(C11,F7,7)</f>
        <v>44445</v>
      </c>
      <c r="O12" s="194">
        <f>DATE(C11,F7,8)</f>
        <v>44446</v>
      </c>
      <c r="P12" s="194">
        <f>DATE(C11,F7,9)</f>
        <v>44447</v>
      </c>
      <c r="Q12" s="194">
        <f>DATE(C11,F7,10)</f>
        <v>44448</v>
      </c>
      <c r="R12" s="194">
        <f>DATE(C11,F7,11)</f>
        <v>44449</v>
      </c>
      <c r="S12" s="194">
        <f>DATE(C11,F7,12)</f>
        <v>44450</v>
      </c>
      <c r="T12" s="194">
        <f>DATE(C11,F7,13)</f>
        <v>44451</v>
      </c>
      <c r="U12" s="194">
        <f>DATE(C11,F7,14)</f>
        <v>44452</v>
      </c>
      <c r="V12" s="194">
        <f>DATE(C11,F7,15)</f>
        <v>44453</v>
      </c>
      <c r="W12" s="194">
        <f>DATE(C11,F7,16)</f>
        <v>44454</v>
      </c>
      <c r="X12" s="194">
        <f>DATE(C11,F7,17)</f>
        <v>44455</v>
      </c>
      <c r="Y12" s="194">
        <f>DATE(C11,F7,18)</f>
        <v>44456</v>
      </c>
      <c r="Z12" s="194">
        <f>DATE(C11,F7,19)</f>
        <v>44457</v>
      </c>
      <c r="AA12" s="194">
        <f>DATE(C11,F7,20)</f>
        <v>44458</v>
      </c>
      <c r="AB12" s="194">
        <f>DATE(C11,F7,21)</f>
        <v>44459</v>
      </c>
      <c r="AC12" s="194">
        <f>DATE(C11,F7,22)</f>
        <v>44460</v>
      </c>
      <c r="AD12" s="194">
        <f>DATE(C11,F7,23)</f>
        <v>44461</v>
      </c>
      <c r="AE12" s="194">
        <f>DATE(C11,F7,24)</f>
        <v>44462</v>
      </c>
      <c r="AF12" s="194">
        <f>DATE(C11,F7,25)</f>
        <v>44463</v>
      </c>
      <c r="AG12" s="194">
        <f>DATE(C11,F7,26)</f>
        <v>44464</v>
      </c>
      <c r="AH12" s="194">
        <f>DATE(C11,F7,27)</f>
        <v>44465</v>
      </c>
      <c r="AI12" s="194">
        <f>DATE(C11,F7,28)</f>
        <v>44466</v>
      </c>
      <c r="AJ12" s="194">
        <f>IFERROR(IF(MONTH(AI12+1)=MONTH($H$12),AI$12+1,""),"")</f>
        <v>44467</v>
      </c>
      <c r="AK12" s="194">
        <f>IFERROR(IF(MONTH(AJ12+1)=MONTH($H$12),AJ$12+1,""),"")</f>
        <v>44468</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6.72</v>
      </c>
      <c r="I14" s="204">
        <f t="shared" si="10"/>
        <v>6.72</v>
      </c>
      <c r="J14" s="204">
        <f t="shared" si="10"/>
        <v>6.72</v>
      </c>
      <c r="K14" s="204">
        <f t="shared" si="10"/>
        <v>6.72</v>
      </c>
      <c r="L14" s="204">
        <f t="shared" si="10"/>
        <v>6.72</v>
      </c>
      <c r="M14" s="204">
        <f t="shared" si="10"/>
        <v>0</v>
      </c>
      <c r="N14" s="204">
        <f t="shared" si="10"/>
        <v>0</v>
      </c>
      <c r="O14" s="204">
        <f t="shared" si="10"/>
        <v>6.72</v>
      </c>
      <c r="P14" s="204">
        <f t="shared" si="10"/>
        <v>6.72</v>
      </c>
      <c r="Q14" s="204">
        <f t="shared" si="10"/>
        <v>6.72</v>
      </c>
      <c r="R14" s="204">
        <f t="shared" si="10"/>
        <v>6.72</v>
      </c>
      <c r="S14" s="204">
        <f t="shared" si="10"/>
        <v>6.72</v>
      </c>
      <c r="T14" s="204">
        <f t="shared" si="10"/>
        <v>0</v>
      </c>
      <c r="U14" s="204">
        <f t="shared" si="10"/>
        <v>0</v>
      </c>
      <c r="V14" s="204">
        <f t="shared" si="10"/>
        <v>6.72</v>
      </c>
      <c r="W14" s="204">
        <f t="shared" si="10"/>
        <v>6.72</v>
      </c>
      <c r="X14" s="204">
        <f t="shared" si="10"/>
        <v>6.72</v>
      </c>
      <c r="Y14" s="204">
        <f t="shared" si="10"/>
        <v>6.72</v>
      </c>
      <c r="Z14" s="204">
        <f t="shared" si="10"/>
        <v>6.72</v>
      </c>
      <c r="AA14" s="204">
        <f t="shared" si="10"/>
        <v>0</v>
      </c>
      <c r="AB14" s="204">
        <f t="shared" si="10"/>
        <v>0</v>
      </c>
      <c r="AC14" s="204">
        <f t="shared" si="10"/>
        <v>6.72</v>
      </c>
      <c r="AD14" s="204">
        <f t="shared" si="10"/>
        <v>6.72</v>
      </c>
      <c r="AE14" s="204">
        <f t="shared" si="10"/>
        <v>6.72</v>
      </c>
      <c r="AF14" s="204">
        <f t="shared" si="10"/>
        <v>6.72</v>
      </c>
      <c r="AG14" s="204">
        <f t="shared" si="10"/>
        <v>6.72</v>
      </c>
      <c r="AH14" s="204">
        <f t="shared" si="10"/>
        <v>0</v>
      </c>
      <c r="AI14" s="204">
        <f t="shared" si="10"/>
        <v>0</v>
      </c>
      <c r="AJ14" s="204">
        <f>IFERROR(IF(OR(WEEKDAY(AJ12,2)&gt;=6,AJ7=0),0,(TaginSt-AJ1)*AJ9/100),0)</f>
        <v>6.72</v>
      </c>
      <c r="AK14" s="204">
        <f>IFERROR(IF(OR(WEEKDAY(AK12,2)&gt;=6,AK7=0),0,(TaginSt-AK1)*AK9/100),0)</f>
        <v>6.72</v>
      </c>
      <c r="AL14" s="204">
        <f>IFERROR(IF(OR(WEEKDAY(AL12,2)&gt;=6,AL7=0),0,(TaginSt-AL1)*AL9/100),0)</f>
        <v>0</v>
      </c>
      <c r="AM14" s="205">
        <f>SUM(H14:AL14)</f>
        <v>147.84</v>
      </c>
    </row>
    <row r="15" spans="2:39" ht="12.75" customHeight="1" x14ac:dyDescent="0.2">
      <c r="D15" s="202"/>
      <c r="E15" s="202"/>
      <c r="F15" s="566"/>
      <c r="G15" s="203" t="s">
        <v>136</v>
      </c>
      <c r="H15" s="204">
        <f t="shared" ref="H15:AL15" si="11">H14/TaginSt</f>
        <v>0.79999999999999993</v>
      </c>
      <c r="I15" s="206">
        <f t="shared" si="11"/>
        <v>0.79999999999999993</v>
      </c>
      <c r="J15" s="206">
        <f t="shared" si="11"/>
        <v>0.79999999999999993</v>
      </c>
      <c r="K15" s="206">
        <f t="shared" si="11"/>
        <v>0.79999999999999993</v>
      </c>
      <c r="L15" s="206">
        <f t="shared" si="11"/>
        <v>0.79999999999999993</v>
      </c>
      <c r="M15" s="206">
        <f t="shared" si="11"/>
        <v>0</v>
      </c>
      <c r="N15" s="206">
        <f t="shared" si="11"/>
        <v>0</v>
      </c>
      <c r="O15" s="206">
        <f t="shared" si="11"/>
        <v>0.79999999999999993</v>
      </c>
      <c r="P15" s="206">
        <f t="shared" si="11"/>
        <v>0.79999999999999993</v>
      </c>
      <c r="Q15" s="206">
        <f t="shared" si="11"/>
        <v>0.79999999999999993</v>
      </c>
      <c r="R15" s="206">
        <f t="shared" si="11"/>
        <v>0.79999999999999993</v>
      </c>
      <c r="S15" s="206">
        <f t="shared" si="11"/>
        <v>0.79999999999999993</v>
      </c>
      <c r="T15" s="206">
        <f t="shared" si="11"/>
        <v>0</v>
      </c>
      <c r="U15" s="206">
        <f t="shared" si="11"/>
        <v>0</v>
      </c>
      <c r="V15" s="206">
        <f t="shared" si="11"/>
        <v>0.79999999999999993</v>
      </c>
      <c r="W15" s="206">
        <f t="shared" si="11"/>
        <v>0.79999999999999993</v>
      </c>
      <c r="X15" s="206">
        <f t="shared" si="11"/>
        <v>0.79999999999999993</v>
      </c>
      <c r="Y15" s="206">
        <f t="shared" si="11"/>
        <v>0.79999999999999993</v>
      </c>
      <c r="Z15" s="206">
        <f t="shared" si="11"/>
        <v>0.79999999999999993</v>
      </c>
      <c r="AA15" s="206">
        <f t="shared" si="11"/>
        <v>0</v>
      </c>
      <c r="AB15" s="206">
        <f t="shared" si="11"/>
        <v>0</v>
      </c>
      <c r="AC15" s="206">
        <f t="shared" si="11"/>
        <v>0.79999999999999993</v>
      </c>
      <c r="AD15" s="206">
        <f t="shared" si="11"/>
        <v>0.79999999999999993</v>
      </c>
      <c r="AE15" s="206">
        <f t="shared" si="11"/>
        <v>0.79999999999999993</v>
      </c>
      <c r="AF15" s="206">
        <f t="shared" si="11"/>
        <v>0.79999999999999993</v>
      </c>
      <c r="AG15" s="206">
        <f t="shared" si="11"/>
        <v>0.79999999999999993</v>
      </c>
      <c r="AH15" s="206">
        <f t="shared" si="11"/>
        <v>0</v>
      </c>
      <c r="AI15" s="206">
        <f t="shared" si="11"/>
        <v>0</v>
      </c>
      <c r="AJ15" s="206">
        <f t="shared" si="11"/>
        <v>0.79999999999999993</v>
      </c>
      <c r="AK15" s="206">
        <f t="shared" si="11"/>
        <v>0.79999999999999993</v>
      </c>
      <c r="AL15" s="206">
        <f t="shared" si="11"/>
        <v>0</v>
      </c>
      <c r="AM15" s="205">
        <f>SUM(H15:AL15)</f>
        <v>17.600000000000005</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SaldoStdEndeAug</f>
        <v>-1115.5200000000034</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Aug!C23-AM42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Aug!C27-AM50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0</v>
      </c>
      <c r="I39" s="263">
        <f t="shared" si="16"/>
        <v>0</v>
      </c>
      <c r="J39" s="263">
        <f t="shared" si="16"/>
        <v>0</v>
      </c>
      <c r="K39" s="263">
        <f t="shared" si="16"/>
        <v>0</v>
      </c>
      <c r="L39" s="263">
        <f>IF(ISERROR(L51/TaginSt),0,L51/TaginSt)</f>
        <v>0</v>
      </c>
      <c r="M39" s="263">
        <f t="shared" si="16"/>
        <v>1</v>
      </c>
      <c r="N39" s="263">
        <f t="shared" si="16"/>
        <v>0</v>
      </c>
      <c r="O39" s="263">
        <f t="shared" si="16"/>
        <v>0</v>
      </c>
      <c r="P39" s="263">
        <f t="shared" si="16"/>
        <v>0</v>
      </c>
      <c r="Q39" s="263">
        <f t="shared" si="16"/>
        <v>0</v>
      </c>
      <c r="R39" s="263">
        <f t="shared" si="16"/>
        <v>0</v>
      </c>
      <c r="S39" s="263">
        <f t="shared" si="16"/>
        <v>0</v>
      </c>
      <c r="T39" s="263">
        <f t="shared" si="16"/>
        <v>1</v>
      </c>
      <c r="U39" s="263">
        <f t="shared" si="16"/>
        <v>0</v>
      </c>
      <c r="V39" s="263">
        <f t="shared" si="16"/>
        <v>0</v>
      </c>
      <c r="W39" s="263">
        <f t="shared" si="16"/>
        <v>0</v>
      </c>
      <c r="X39" s="263">
        <f t="shared" si="16"/>
        <v>0</v>
      </c>
      <c r="Y39" s="263">
        <f t="shared" si="16"/>
        <v>0</v>
      </c>
      <c r="Z39" s="263">
        <f t="shared" si="16"/>
        <v>0</v>
      </c>
      <c r="AA39" s="263">
        <f t="shared" si="16"/>
        <v>1</v>
      </c>
      <c r="AB39" s="263">
        <f t="shared" si="16"/>
        <v>0</v>
      </c>
      <c r="AC39" s="263">
        <f t="shared" si="16"/>
        <v>0</v>
      </c>
      <c r="AD39" s="263">
        <f t="shared" si="16"/>
        <v>0</v>
      </c>
      <c r="AE39" s="263">
        <f t="shared" si="16"/>
        <v>0</v>
      </c>
      <c r="AF39" s="263">
        <f t="shared" si="16"/>
        <v>0</v>
      </c>
      <c r="AG39" s="263">
        <f t="shared" si="16"/>
        <v>0</v>
      </c>
      <c r="AH39" s="263">
        <f t="shared" si="16"/>
        <v>1</v>
      </c>
      <c r="AI39" s="263">
        <f t="shared" si="16"/>
        <v>0</v>
      </c>
      <c r="AJ39" s="263">
        <f t="shared" si="16"/>
        <v>0</v>
      </c>
      <c r="AK39" s="263">
        <f t="shared" si="16"/>
        <v>0</v>
      </c>
      <c r="AL39" s="263">
        <f t="shared" si="16"/>
        <v>0</v>
      </c>
      <c r="AM39" s="264">
        <f>SUM(H39:AL39)</f>
        <v>4</v>
      </c>
      <c r="AN39" s="265"/>
    </row>
    <row r="40" spans="2:43" ht="12.75" customHeight="1" x14ac:dyDescent="0.2">
      <c r="D40" s="250"/>
      <c r="E40" s="250"/>
      <c r="F40" s="459" t="s">
        <v>267</v>
      </c>
      <c r="G40" s="266" t="s">
        <v>188</v>
      </c>
      <c r="H40" s="263">
        <f t="shared" si="16"/>
        <v>1</v>
      </c>
      <c r="I40" s="263">
        <f t="shared" si="16"/>
        <v>1</v>
      </c>
      <c r="J40" s="263">
        <f>IF(ISERROR(J52/TaginSt),0,J52/TaginSt)</f>
        <v>1</v>
      </c>
      <c r="K40" s="263">
        <f t="shared" si="16"/>
        <v>1</v>
      </c>
      <c r="L40" s="263">
        <f t="shared" si="16"/>
        <v>1</v>
      </c>
      <c r="M40" s="263">
        <f t="shared" si="16"/>
        <v>0</v>
      </c>
      <c r="N40" s="263">
        <f t="shared" si="16"/>
        <v>0</v>
      </c>
      <c r="O40" s="263">
        <f t="shared" si="16"/>
        <v>1</v>
      </c>
      <c r="P40" s="263">
        <f t="shared" si="16"/>
        <v>1</v>
      </c>
      <c r="Q40" s="263">
        <f t="shared" si="16"/>
        <v>1</v>
      </c>
      <c r="R40" s="263">
        <f t="shared" si="16"/>
        <v>1</v>
      </c>
      <c r="S40" s="263">
        <f t="shared" si="16"/>
        <v>1</v>
      </c>
      <c r="T40" s="263">
        <f t="shared" si="16"/>
        <v>0</v>
      </c>
      <c r="U40" s="263">
        <f t="shared" si="16"/>
        <v>0</v>
      </c>
      <c r="V40" s="263">
        <f t="shared" si="16"/>
        <v>1</v>
      </c>
      <c r="W40" s="263">
        <f t="shared" si="16"/>
        <v>1</v>
      </c>
      <c r="X40" s="263">
        <f t="shared" si="16"/>
        <v>1</v>
      </c>
      <c r="Y40" s="263">
        <f t="shared" si="16"/>
        <v>1</v>
      </c>
      <c r="Z40" s="263">
        <f t="shared" si="16"/>
        <v>1</v>
      </c>
      <c r="AA40" s="263">
        <f t="shared" si="16"/>
        <v>0</v>
      </c>
      <c r="AB40" s="263">
        <f t="shared" si="16"/>
        <v>0</v>
      </c>
      <c r="AC40" s="263">
        <f t="shared" si="16"/>
        <v>1</v>
      </c>
      <c r="AD40" s="263">
        <f t="shared" si="16"/>
        <v>1</v>
      </c>
      <c r="AE40" s="263">
        <f t="shared" si="16"/>
        <v>1</v>
      </c>
      <c r="AF40" s="263">
        <f t="shared" si="16"/>
        <v>1</v>
      </c>
      <c r="AG40" s="263">
        <f t="shared" si="16"/>
        <v>1</v>
      </c>
      <c r="AH40" s="263">
        <f t="shared" si="16"/>
        <v>0</v>
      </c>
      <c r="AI40" s="263">
        <f t="shared" si="16"/>
        <v>0</v>
      </c>
      <c r="AJ40" s="263">
        <f t="shared" si="16"/>
        <v>1</v>
      </c>
      <c r="AK40" s="263">
        <f t="shared" si="16"/>
        <v>1</v>
      </c>
      <c r="AL40" s="263">
        <f t="shared" si="16"/>
        <v>0</v>
      </c>
      <c r="AM40" s="264">
        <f>SUM(H40:AL40)</f>
        <v>22</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0</v>
      </c>
      <c r="I51" s="270">
        <f t="shared" si="29"/>
        <v>0</v>
      </c>
      <c r="J51" s="270">
        <f t="shared" si="29"/>
        <v>0</v>
      </c>
      <c r="K51" s="270">
        <f t="shared" si="29"/>
        <v>0</v>
      </c>
      <c r="L51" s="270">
        <f t="shared" si="29"/>
        <v>0</v>
      </c>
      <c r="M51" s="270">
        <f t="shared" si="29"/>
        <v>8.4</v>
      </c>
      <c r="N51" s="270">
        <f t="shared" si="29"/>
        <v>0</v>
      </c>
      <c r="O51" s="270">
        <f t="shared" si="29"/>
        <v>0</v>
      </c>
      <c r="P51" s="270">
        <f t="shared" si="29"/>
        <v>0</v>
      </c>
      <c r="Q51" s="270">
        <f t="shared" si="29"/>
        <v>0</v>
      </c>
      <c r="R51" s="270">
        <f t="shared" si="29"/>
        <v>0</v>
      </c>
      <c r="S51" s="270">
        <f t="shared" si="29"/>
        <v>0</v>
      </c>
      <c r="T51" s="270">
        <f t="shared" si="29"/>
        <v>8.4</v>
      </c>
      <c r="U51" s="270">
        <f t="shared" si="29"/>
        <v>0</v>
      </c>
      <c r="V51" s="270">
        <f t="shared" si="29"/>
        <v>0</v>
      </c>
      <c r="W51" s="270">
        <f t="shared" si="29"/>
        <v>0</v>
      </c>
      <c r="X51" s="270">
        <f t="shared" si="29"/>
        <v>0</v>
      </c>
      <c r="Y51" s="270">
        <f t="shared" si="29"/>
        <v>0</v>
      </c>
      <c r="Z51" s="270">
        <f t="shared" si="29"/>
        <v>0</v>
      </c>
      <c r="AA51" s="270">
        <f t="shared" si="29"/>
        <v>8.4</v>
      </c>
      <c r="AB51" s="270">
        <f t="shared" si="29"/>
        <v>0</v>
      </c>
      <c r="AC51" s="270">
        <f t="shared" si="29"/>
        <v>0</v>
      </c>
      <c r="AD51" s="270">
        <f t="shared" si="29"/>
        <v>0</v>
      </c>
      <c r="AE51" s="270">
        <f t="shared" si="29"/>
        <v>0</v>
      </c>
      <c r="AF51" s="270">
        <f t="shared" si="29"/>
        <v>0</v>
      </c>
      <c r="AG51" s="270">
        <f t="shared" si="29"/>
        <v>0</v>
      </c>
      <c r="AH51" s="270">
        <f t="shared" si="29"/>
        <v>8.4</v>
      </c>
      <c r="AI51" s="270">
        <f t="shared" si="29"/>
        <v>0</v>
      </c>
      <c r="AJ51" s="270">
        <f>IFERROR(IF(OR(AJ3&gt;0,AND(AJ9=100,OR(WEEKDAY(AJ12,2)&lt;7,AJ1&gt;0))),AJ3+AJ14-AJ26,0),"")</f>
        <v>0</v>
      </c>
      <c r="AK51" s="270">
        <f>IFERROR(IF(OR(AK3&gt;0,AND(AK9=100,OR(WEEKDAY(AK12,2)&lt;7,AK1&gt;0))),AK3+AK14-AK26,0),"")</f>
        <v>0</v>
      </c>
      <c r="AL51" s="270" t="str">
        <f>IFERROR(IF(OR(AL3&gt;0,AND(AL9=100,OR(WEEKDAY(AL12,2)&lt;7,AL1&gt;0))),AL3+AL14-AL26,0),"")</f>
        <v/>
      </c>
      <c r="AM51" s="271">
        <f t="shared" si="20"/>
        <v>33.6</v>
      </c>
      <c r="AN51" s="272"/>
      <c r="AO51" s="562"/>
    </row>
    <row r="52" spans="2:41" ht="12.75" hidden="1" customHeight="1" x14ac:dyDescent="0.2">
      <c r="B52" s="256"/>
      <c r="C52" s="257"/>
      <c r="D52" s="250"/>
      <c r="E52" s="250"/>
      <c r="F52" s="564"/>
      <c r="G52" s="269" t="s">
        <v>170</v>
      </c>
      <c r="H52" s="270">
        <f t="shared" ref="H52:AI52" si="30">IF(H4&gt;0,IF(AND(H1&gt;0,H14+H4-H26&lt;=H4),H4,H14+H4-H26),0)</f>
        <v>8.4</v>
      </c>
      <c r="I52" s="270">
        <f t="shared" si="30"/>
        <v>8.4</v>
      </c>
      <c r="J52" s="270">
        <f t="shared" si="30"/>
        <v>8.4</v>
      </c>
      <c r="K52" s="270">
        <f t="shared" si="30"/>
        <v>8.4</v>
      </c>
      <c r="L52" s="270">
        <f t="shared" si="30"/>
        <v>8.4</v>
      </c>
      <c r="M52" s="270">
        <f t="shared" si="30"/>
        <v>0</v>
      </c>
      <c r="N52" s="270">
        <f t="shared" si="30"/>
        <v>0</v>
      </c>
      <c r="O52" s="270">
        <f t="shared" si="30"/>
        <v>8.4</v>
      </c>
      <c r="P52" s="270">
        <f t="shared" si="30"/>
        <v>8.4</v>
      </c>
      <c r="Q52" s="270">
        <f t="shared" si="30"/>
        <v>8.4</v>
      </c>
      <c r="R52" s="270">
        <f t="shared" si="30"/>
        <v>8.4</v>
      </c>
      <c r="S52" s="270">
        <f t="shared" si="30"/>
        <v>8.4</v>
      </c>
      <c r="T52" s="270">
        <f t="shared" si="30"/>
        <v>0</v>
      </c>
      <c r="U52" s="270">
        <f t="shared" si="30"/>
        <v>0</v>
      </c>
      <c r="V52" s="270">
        <f t="shared" si="30"/>
        <v>8.4</v>
      </c>
      <c r="W52" s="270">
        <f t="shared" si="30"/>
        <v>8.4</v>
      </c>
      <c r="X52" s="270">
        <f t="shared" si="30"/>
        <v>8.4</v>
      </c>
      <c r="Y52" s="270">
        <f t="shared" si="30"/>
        <v>8.4</v>
      </c>
      <c r="Z52" s="270">
        <f t="shared" si="30"/>
        <v>8.4</v>
      </c>
      <c r="AA52" s="270">
        <f t="shared" si="30"/>
        <v>0</v>
      </c>
      <c r="AB52" s="270">
        <f t="shared" si="30"/>
        <v>0</v>
      </c>
      <c r="AC52" s="270">
        <f t="shared" si="30"/>
        <v>8.4</v>
      </c>
      <c r="AD52" s="270">
        <f t="shared" si="30"/>
        <v>8.4</v>
      </c>
      <c r="AE52" s="270">
        <f t="shared" si="30"/>
        <v>8.4</v>
      </c>
      <c r="AF52" s="270">
        <f t="shared" si="30"/>
        <v>8.4</v>
      </c>
      <c r="AG52" s="270">
        <f t="shared" si="30"/>
        <v>8.4</v>
      </c>
      <c r="AH52" s="270">
        <f t="shared" si="30"/>
        <v>0</v>
      </c>
      <c r="AI52" s="270">
        <f t="shared" si="30"/>
        <v>0</v>
      </c>
      <c r="AJ52" s="270">
        <f>IFERROR(IF(AJ4&gt;0,IF(AND(AJ1&gt;0,AJ14+AJ4-AJ26&lt;=AJ4),AJ4,AJ14+AJ4-AJ26),0),"")</f>
        <v>8.4</v>
      </c>
      <c r="AK52" s="270">
        <f>IFERROR(IF(AK4&gt;0,IF(AND(AK1&gt;0,AK14+AK4-AK26&lt;=AK4),AK4,AK14+AK4-AK26),0),"")</f>
        <v>8.4</v>
      </c>
      <c r="AL52" s="270">
        <f>IFERROR(IF(AL4&gt;0,IF(AND(AL1&gt;0,AL14+AL4-AL26&lt;=AL4),AL4,AL14+AL4-AL26),0),"")</f>
        <v>0</v>
      </c>
      <c r="AM52" s="271">
        <f t="shared" si="20"/>
        <v>184.80000000000007</v>
      </c>
      <c r="AN52" s="272"/>
      <c r="AO52" s="562"/>
    </row>
    <row r="53" spans="2:41" ht="12.75" hidden="1" customHeight="1" x14ac:dyDescent="0.2">
      <c r="B53" s="256"/>
      <c r="C53" s="257"/>
      <c r="D53" s="250"/>
      <c r="E53" s="250"/>
      <c r="F53" s="564"/>
      <c r="G53" s="275" t="s">
        <v>173</v>
      </c>
      <c r="H53" s="270">
        <f>IFERROR(H51+H52,"")</f>
        <v>8.4</v>
      </c>
      <c r="I53" s="270">
        <f t="shared" ref="I53:AL53" si="31">IFERROR(I51+I52,"")</f>
        <v>8.4</v>
      </c>
      <c r="J53" s="270">
        <f t="shared" si="31"/>
        <v>8.4</v>
      </c>
      <c r="K53" s="270">
        <f t="shared" si="31"/>
        <v>8.4</v>
      </c>
      <c r="L53" s="270">
        <f t="shared" si="31"/>
        <v>8.4</v>
      </c>
      <c r="M53" s="270">
        <f t="shared" si="31"/>
        <v>8.4</v>
      </c>
      <c r="N53" s="270">
        <f t="shared" si="31"/>
        <v>0</v>
      </c>
      <c r="O53" s="270">
        <f t="shared" si="31"/>
        <v>8.4</v>
      </c>
      <c r="P53" s="270">
        <f t="shared" si="31"/>
        <v>8.4</v>
      </c>
      <c r="Q53" s="270">
        <f t="shared" si="31"/>
        <v>8.4</v>
      </c>
      <c r="R53" s="270">
        <f t="shared" si="31"/>
        <v>8.4</v>
      </c>
      <c r="S53" s="270">
        <f t="shared" si="31"/>
        <v>8.4</v>
      </c>
      <c r="T53" s="270">
        <f t="shared" si="31"/>
        <v>8.4</v>
      </c>
      <c r="U53" s="270">
        <f t="shared" si="31"/>
        <v>0</v>
      </c>
      <c r="V53" s="270">
        <f t="shared" si="31"/>
        <v>8.4</v>
      </c>
      <c r="W53" s="270">
        <f t="shared" si="31"/>
        <v>8.4</v>
      </c>
      <c r="X53" s="270">
        <f t="shared" si="31"/>
        <v>8.4</v>
      </c>
      <c r="Y53" s="270">
        <f t="shared" si="31"/>
        <v>8.4</v>
      </c>
      <c r="Z53" s="270">
        <f t="shared" si="31"/>
        <v>8.4</v>
      </c>
      <c r="AA53" s="270">
        <f t="shared" si="31"/>
        <v>8.4</v>
      </c>
      <c r="AB53" s="270">
        <f t="shared" si="31"/>
        <v>0</v>
      </c>
      <c r="AC53" s="270">
        <f t="shared" si="31"/>
        <v>8.4</v>
      </c>
      <c r="AD53" s="270">
        <f t="shared" si="31"/>
        <v>8.4</v>
      </c>
      <c r="AE53" s="270">
        <f t="shared" si="31"/>
        <v>8.4</v>
      </c>
      <c r="AF53" s="270">
        <f t="shared" si="31"/>
        <v>8.4</v>
      </c>
      <c r="AG53" s="270">
        <f t="shared" si="31"/>
        <v>8.4</v>
      </c>
      <c r="AH53" s="270">
        <f t="shared" si="31"/>
        <v>8.4</v>
      </c>
      <c r="AI53" s="270">
        <f t="shared" si="31"/>
        <v>0</v>
      </c>
      <c r="AJ53" s="270">
        <f t="shared" si="31"/>
        <v>8.4</v>
      </c>
      <c r="AK53" s="270">
        <f t="shared" si="31"/>
        <v>8.4</v>
      </c>
      <c r="AL53" s="270" t="str">
        <f t="shared" si="31"/>
        <v/>
      </c>
      <c r="AM53" s="271">
        <f t="shared" si="20"/>
        <v>218.40000000000009</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6.72</v>
      </c>
      <c r="I55" s="270">
        <f t="shared" si="33"/>
        <v>6.72</v>
      </c>
      <c r="J55" s="270">
        <f t="shared" si="33"/>
        <v>6.72</v>
      </c>
      <c r="K55" s="270">
        <f t="shared" si="33"/>
        <v>6.72</v>
      </c>
      <c r="L55" s="270">
        <f t="shared" si="33"/>
        <v>6.72</v>
      </c>
      <c r="M55" s="270">
        <f t="shared" si="33"/>
        <v>0</v>
      </c>
      <c r="N55" s="270">
        <f t="shared" si="33"/>
        <v>0</v>
      </c>
      <c r="O55" s="270">
        <f t="shared" si="33"/>
        <v>6.72</v>
      </c>
      <c r="P55" s="270">
        <f t="shared" si="33"/>
        <v>6.72</v>
      </c>
      <c r="Q55" s="270">
        <f t="shared" si="33"/>
        <v>6.72</v>
      </c>
      <c r="R55" s="270">
        <f t="shared" si="33"/>
        <v>6.72</v>
      </c>
      <c r="S55" s="270">
        <f t="shared" si="33"/>
        <v>6.72</v>
      </c>
      <c r="T55" s="270">
        <f t="shared" si="33"/>
        <v>0</v>
      </c>
      <c r="U55" s="270">
        <f t="shared" si="33"/>
        <v>0</v>
      </c>
      <c r="V55" s="270">
        <f t="shared" si="33"/>
        <v>6.72</v>
      </c>
      <c r="W55" s="270">
        <f t="shared" si="33"/>
        <v>6.72</v>
      </c>
      <c r="X55" s="270">
        <f t="shared" si="33"/>
        <v>6.72</v>
      </c>
      <c r="Y55" s="270">
        <f t="shared" si="33"/>
        <v>6.72</v>
      </c>
      <c r="Z55" s="270">
        <f t="shared" si="33"/>
        <v>6.72</v>
      </c>
      <c r="AA55" s="270">
        <f t="shared" si="33"/>
        <v>0</v>
      </c>
      <c r="AB55" s="270">
        <f t="shared" si="33"/>
        <v>0</v>
      </c>
      <c r="AC55" s="270">
        <f t="shared" si="33"/>
        <v>6.72</v>
      </c>
      <c r="AD55" s="270">
        <f t="shared" si="33"/>
        <v>6.72</v>
      </c>
      <c r="AE55" s="270">
        <f t="shared" si="33"/>
        <v>6.72</v>
      </c>
      <c r="AF55" s="270">
        <f t="shared" si="33"/>
        <v>6.72</v>
      </c>
      <c r="AG55" s="270">
        <f t="shared" si="33"/>
        <v>6.72</v>
      </c>
      <c r="AH55" s="270">
        <f t="shared" si="33"/>
        <v>0</v>
      </c>
      <c r="AI55" s="270">
        <f t="shared" si="33"/>
        <v>0</v>
      </c>
      <c r="AJ55" s="270">
        <f t="shared" si="33"/>
        <v>6.72</v>
      </c>
      <c r="AK55" s="270">
        <f t="shared" si="33"/>
        <v>6.72</v>
      </c>
      <c r="AL55" s="270">
        <f t="shared" si="33"/>
        <v>0</v>
      </c>
      <c r="AM55" s="271">
        <f t="shared" si="20"/>
        <v>147.84</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8,4 TZ/FR</v>
      </c>
      <c r="M66" s="279" t="str">
        <f t="shared" si="44"/>
        <v>8,4 TZ/FR</v>
      </c>
      <c r="N66" s="279" t="str">
        <f t="shared" si="44"/>
        <v/>
      </c>
      <c r="O66" s="279" t="str">
        <f t="shared" si="44"/>
        <v>8,4 TZ/FR</v>
      </c>
      <c r="P66" s="279" t="str">
        <f t="shared" si="44"/>
        <v>8,4 TZ/FR</v>
      </c>
      <c r="Q66" s="279" t="str">
        <f t="shared" si="44"/>
        <v>8,4 TZ/FR</v>
      </c>
      <c r="R66" s="279" t="str">
        <f t="shared" si="44"/>
        <v>8,4 TZ/FR</v>
      </c>
      <c r="S66" s="279" t="str">
        <f t="shared" si="44"/>
        <v>8,4 TZ/FR</v>
      </c>
      <c r="T66" s="279" t="str">
        <f t="shared" si="44"/>
        <v>8,4 TZ/FR</v>
      </c>
      <c r="U66" s="279" t="str">
        <f t="shared" si="44"/>
        <v/>
      </c>
      <c r="V66" s="279" t="str">
        <f t="shared" si="44"/>
        <v>8,4 TZ/FR</v>
      </c>
      <c r="W66" s="279" t="str">
        <f t="shared" si="44"/>
        <v>8,4 TZ/FR</v>
      </c>
      <c r="X66" s="279" t="str">
        <f t="shared" si="44"/>
        <v>8,4 TZ/FR</v>
      </c>
      <c r="Y66" s="279" t="str">
        <f t="shared" si="44"/>
        <v>8,4 TZ/FR</v>
      </c>
      <c r="Z66" s="279" t="str">
        <f t="shared" si="44"/>
        <v>8,4 TZ/FR</v>
      </c>
      <c r="AA66" s="279" t="str">
        <f t="shared" si="44"/>
        <v>8,4 TZ/FR</v>
      </c>
      <c r="AB66" s="279" t="str">
        <f t="shared" si="44"/>
        <v/>
      </c>
      <c r="AC66" s="279" t="str">
        <f t="shared" si="44"/>
        <v>8,4 TZ/FR</v>
      </c>
      <c r="AD66" s="279" t="str">
        <f t="shared" si="44"/>
        <v>8,4 TZ/FR</v>
      </c>
      <c r="AE66" s="279" t="str">
        <f t="shared" si="44"/>
        <v>8,4 TZ/FR</v>
      </c>
      <c r="AF66" s="279" t="str">
        <f t="shared" si="44"/>
        <v>8,4 TZ/FR</v>
      </c>
      <c r="AG66" s="279" t="str">
        <f t="shared" si="44"/>
        <v>8,4 TZ/FR</v>
      </c>
      <c r="AH66" s="279" t="str">
        <f t="shared" si="44"/>
        <v>8,4 TZ/FR</v>
      </c>
      <c r="AI66" s="279" t="str">
        <f t="shared" si="44"/>
        <v/>
      </c>
      <c r="AJ66" s="279" t="str">
        <f t="shared" si="44"/>
        <v>8,4 TZ/FR</v>
      </c>
      <c r="AK66" s="279" t="str">
        <f t="shared" si="44"/>
        <v>8,4 TZ/FR</v>
      </c>
      <c r="AL66" s="279" t="str">
        <f t="shared" si="44"/>
        <v/>
      </c>
      <c r="AM66" s="280" t="str">
        <f>ROUND(AM52,2)&amp;" TZ/FR"</f>
        <v>184,8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FREI</v>
      </c>
      <c r="I68" s="279" t="str">
        <f t="shared" ref="I68:AL68" si="46">IF(OR(I55="",I55=0),"","FREI")</f>
        <v>FREI</v>
      </c>
      <c r="J68" s="279" t="str">
        <f t="shared" si="46"/>
        <v>FREI</v>
      </c>
      <c r="K68" s="279" t="str">
        <f t="shared" si="46"/>
        <v>FREI</v>
      </c>
      <c r="L68" s="279" t="str">
        <f t="shared" si="46"/>
        <v>FREI</v>
      </c>
      <c r="M68" s="279" t="str">
        <f t="shared" si="46"/>
        <v/>
      </c>
      <c r="N68" s="279" t="str">
        <f t="shared" si="46"/>
        <v/>
      </c>
      <c r="O68" s="279" t="str">
        <f t="shared" si="46"/>
        <v>FREI</v>
      </c>
      <c r="P68" s="279" t="str">
        <f t="shared" si="46"/>
        <v>FREI</v>
      </c>
      <c r="Q68" s="279" t="str">
        <f t="shared" si="46"/>
        <v>FREI</v>
      </c>
      <c r="R68" s="279" t="str">
        <f t="shared" si="46"/>
        <v>FREI</v>
      </c>
      <c r="S68" s="279" t="str">
        <f t="shared" si="46"/>
        <v>FREI</v>
      </c>
      <c r="T68" s="279" t="str">
        <f t="shared" si="46"/>
        <v/>
      </c>
      <c r="U68" s="279" t="str">
        <f t="shared" si="46"/>
        <v/>
      </c>
      <c r="V68" s="279" t="str">
        <f t="shared" si="46"/>
        <v>FREI</v>
      </c>
      <c r="W68" s="279" t="str">
        <f t="shared" si="46"/>
        <v>FREI</v>
      </c>
      <c r="X68" s="279" t="str">
        <f t="shared" si="46"/>
        <v>FREI</v>
      </c>
      <c r="Y68" s="279" t="str">
        <f t="shared" si="46"/>
        <v>FREI</v>
      </c>
      <c r="Z68" s="279" t="str">
        <f t="shared" si="46"/>
        <v>FREI</v>
      </c>
      <c r="AA68" s="279" t="str">
        <f t="shared" si="46"/>
        <v/>
      </c>
      <c r="AB68" s="279" t="str">
        <f t="shared" si="46"/>
        <v/>
      </c>
      <c r="AC68" s="279" t="str">
        <f t="shared" si="46"/>
        <v>FREI</v>
      </c>
      <c r="AD68" s="279" t="str">
        <f t="shared" si="46"/>
        <v>FREI</v>
      </c>
      <c r="AE68" s="279" t="str">
        <f t="shared" si="46"/>
        <v>FREI</v>
      </c>
      <c r="AF68" s="279" t="str">
        <f t="shared" si="46"/>
        <v>FREI</v>
      </c>
      <c r="AG68" s="279" t="str">
        <f t="shared" si="46"/>
        <v>FREI</v>
      </c>
      <c r="AH68" s="279" t="str">
        <f t="shared" si="46"/>
        <v/>
      </c>
      <c r="AI68" s="279" t="str">
        <f t="shared" si="46"/>
        <v/>
      </c>
      <c r="AJ68" s="279" t="str">
        <f t="shared" si="46"/>
        <v>FREI</v>
      </c>
      <c r="AK68" s="279" t="str">
        <f t="shared" si="46"/>
        <v>FREI</v>
      </c>
      <c r="AL68" s="279" t="str">
        <f t="shared" si="46"/>
        <v/>
      </c>
      <c r="AM68" s="280"/>
      <c r="AN68" s="272"/>
    </row>
    <row r="69" spans="2:40" ht="12.75" hidden="1" customHeight="1" x14ac:dyDescent="0.2">
      <c r="B69" s="256"/>
      <c r="C69" s="257"/>
      <c r="D69" s="250"/>
      <c r="E69" s="250"/>
      <c r="F69" s="281"/>
      <c r="G69" s="282" t="s">
        <v>132</v>
      </c>
      <c r="H69" s="283" t="str">
        <f t="shared" ref="H69:AL69" si="47">_xlfn.TEXTJOIN(";",TRUE,H56,H57,H58,H59,H60,H61,H62,H63,H64,H68)</f>
        <v>FREI</v>
      </c>
      <c r="I69" s="283" t="str">
        <f t="shared" si="47"/>
        <v>FREI</v>
      </c>
      <c r="J69" s="283" t="str">
        <f t="shared" si="47"/>
        <v>FREI</v>
      </c>
      <c r="K69" s="283" t="str">
        <f t="shared" si="47"/>
        <v>FREI</v>
      </c>
      <c r="L69" s="283" t="str">
        <f>_xlfn.TEXTJOIN(";",TRUE,L56,L57,L58,L59,L60,L61,L62,L63,L64,L68)</f>
        <v>FREI</v>
      </c>
      <c r="M69" s="283" t="str">
        <f t="shared" si="47"/>
        <v/>
      </c>
      <c r="N69" s="283" t="str">
        <f t="shared" si="47"/>
        <v/>
      </c>
      <c r="O69" s="283" t="str">
        <f t="shared" si="47"/>
        <v>FREI</v>
      </c>
      <c r="P69" s="283" t="str">
        <f t="shared" si="47"/>
        <v>FREI</v>
      </c>
      <c r="Q69" s="283" t="str">
        <f t="shared" si="47"/>
        <v>FREI</v>
      </c>
      <c r="R69" s="283" t="str">
        <f t="shared" si="47"/>
        <v>FREI</v>
      </c>
      <c r="S69" s="283" t="str">
        <f t="shared" si="47"/>
        <v>FREI</v>
      </c>
      <c r="T69" s="283" t="str">
        <f t="shared" si="47"/>
        <v/>
      </c>
      <c r="U69" s="283" t="str">
        <f t="shared" si="47"/>
        <v/>
      </c>
      <c r="V69" s="283" t="str">
        <f t="shared" si="47"/>
        <v>FREI</v>
      </c>
      <c r="W69" s="283" t="str">
        <f t="shared" si="47"/>
        <v>FREI</v>
      </c>
      <c r="X69" s="283" t="str">
        <f t="shared" si="47"/>
        <v>FREI</v>
      </c>
      <c r="Y69" s="283" t="str">
        <f t="shared" si="47"/>
        <v>FREI</v>
      </c>
      <c r="Z69" s="283" t="str">
        <f t="shared" si="47"/>
        <v>FREI</v>
      </c>
      <c r="AA69" s="283" t="str">
        <f t="shared" si="47"/>
        <v/>
      </c>
      <c r="AB69" s="283" t="str">
        <f t="shared" si="47"/>
        <v/>
      </c>
      <c r="AC69" s="283" t="str">
        <f t="shared" si="47"/>
        <v>FREI</v>
      </c>
      <c r="AD69" s="283" t="str">
        <f t="shared" si="47"/>
        <v>FREI</v>
      </c>
      <c r="AE69" s="283" t="str">
        <f t="shared" si="47"/>
        <v>FREI</v>
      </c>
      <c r="AF69" s="283" t="str">
        <f t="shared" si="47"/>
        <v>FREI</v>
      </c>
      <c r="AG69" s="283" t="str">
        <f t="shared" si="47"/>
        <v>FREI</v>
      </c>
      <c r="AH69" s="283" t="str">
        <f t="shared" si="47"/>
        <v/>
      </c>
      <c r="AI69" s="283" t="str">
        <f t="shared" si="47"/>
        <v/>
      </c>
      <c r="AJ69" s="283" t="str">
        <f t="shared" si="47"/>
        <v>FREI</v>
      </c>
      <c r="AK69" s="283" t="str">
        <f t="shared" si="47"/>
        <v>FREI</v>
      </c>
      <c r="AL69" s="283" t="str">
        <f t="shared" si="47"/>
        <v/>
      </c>
      <c r="AM69" s="280"/>
      <c r="AN69" s="272"/>
    </row>
    <row r="70" spans="2:40" ht="12.75" hidden="1" customHeight="1" x14ac:dyDescent="0.2">
      <c r="B70" s="256"/>
      <c r="C70" s="257"/>
      <c r="D70" s="250"/>
      <c r="E70" s="250"/>
      <c r="F70" s="281"/>
      <c r="G70" s="278" t="s">
        <v>158</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cm="1">
        <f t="array" ref="M70">IF(ISERROR(_xlfn.TEXTSPLIT(M69,,";",TRUE)),0,_xlfn.TEXTSPLIT(M69,,";",TRUE))</f>
        <v>0</v>
      </c>
      <c r="N70" s="284" cm="1">
        <f t="array" ref="N70">IF(ISERROR(_xlfn.TEXTSPLIT(N69,,";",TRUE)),0,_xlfn.TEXTSPLIT(N69,,";",TRUE))</f>
        <v>0</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cm="1">
        <f t="array" ref="T70">IF(ISERROR(_xlfn.TEXTSPLIT(T69,,";",TRUE)),0,_xlfn.TEXTSPLIT(T69,,";",TRUE))</f>
        <v>0</v>
      </c>
      <c r="U70" s="284" cm="1">
        <f t="array" ref="U70">IF(ISERROR(_xlfn.TEXTSPLIT(U69,,";",TRUE)),0,_xlfn.TEXTSPLIT(U69,,";",TRUE))</f>
        <v>0</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cm="1">
        <f t="array" ref="AA70">IF(ISERROR(_xlfn.TEXTSPLIT(AA69,,";",TRUE)),0,_xlfn.TEXTSPLIT(AA69,,";",TRUE))</f>
        <v>0</v>
      </c>
      <c r="AB70" s="284" cm="1">
        <f t="array" ref="AB70">IF(ISERROR(_xlfn.TEXTSPLIT(AB69,,";",TRUE)),0,_xlfn.TEXTSPLIT(AB69,,";",TRUE))</f>
        <v>0</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cm="1">
        <f t="array" ref="AH70">IF(ISERROR(_xlfn.TEXTSPLIT(AH69,,";",TRUE)),0,_xlfn.TEXTSPLIT(AH69,,";",TRUE))</f>
        <v>0</v>
      </c>
      <c r="AI70" s="284" cm="1">
        <f t="array" ref="AI70">IF(ISERROR(_xlfn.TEXTSPLIT(AI69,,";",TRUE)),0,_xlfn.TEXTSPLIT(AI69,,";",TRUE))</f>
        <v>0</v>
      </c>
      <c r="AJ70" s="284" t="str" cm="1">
        <f t="array" ref="AJ70">IF(ISERROR(_xlfn.TEXTSPLIT(AJ69,,";",TRUE)),0,_xlfn.TEXTSPLIT(AJ69,,";",TRUE))</f>
        <v>FREI</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-1122.2400000000034</v>
      </c>
      <c r="I74" s="289">
        <f t="shared" ref="I74:AL74" si="49">H74+I26-I14</f>
        <v>-1128.9600000000034</v>
      </c>
      <c r="J74" s="289">
        <f t="shared" si="49"/>
        <v>-1135.6800000000035</v>
      </c>
      <c r="K74" s="289">
        <f t="shared" si="49"/>
        <v>-1142.4000000000035</v>
      </c>
      <c r="L74" s="289">
        <f t="shared" si="49"/>
        <v>-1149.1200000000035</v>
      </c>
      <c r="M74" s="289">
        <f t="shared" si="49"/>
        <v>-1149.1200000000035</v>
      </c>
      <c r="N74" s="289">
        <f t="shared" si="49"/>
        <v>-1149.1200000000035</v>
      </c>
      <c r="O74" s="289">
        <f t="shared" si="49"/>
        <v>-1155.8400000000036</v>
      </c>
      <c r="P74" s="289">
        <f t="shared" si="49"/>
        <v>-1162.5600000000036</v>
      </c>
      <c r="Q74" s="289">
        <f t="shared" si="49"/>
        <v>-1169.2800000000036</v>
      </c>
      <c r="R74" s="289">
        <f t="shared" si="49"/>
        <v>-1176.0000000000036</v>
      </c>
      <c r="S74" s="289">
        <f t="shared" si="49"/>
        <v>-1182.7200000000037</v>
      </c>
      <c r="T74" s="289">
        <f t="shared" si="49"/>
        <v>-1182.7200000000037</v>
      </c>
      <c r="U74" s="289">
        <f t="shared" si="49"/>
        <v>-1182.7200000000037</v>
      </c>
      <c r="V74" s="289">
        <f t="shared" si="49"/>
        <v>-1189.4400000000037</v>
      </c>
      <c r="W74" s="289">
        <f t="shared" si="49"/>
        <v>-1196.1600000000037</v>
      </c>
      <c r="X74" s="289">
        <f t="shared" si="49"/>
        <v>-1202.8800000000037</v>
      </c>
      <c r="Y74" s="289">
        <f t="shared" si="49"/>
        <v>-1209.6000000000038</v>
      </c>
      <c r="Z74" s="289">
        <f t="shared" si="49"/>
        <v>-1216.3200000000038</v>
      </c>
      <c r="AA74" s="289">
        <f t="shared" si="49"/>
        <v>-1216.3200000000038</v>
      </c>
      <c r="AB74" s="289">
        <f t="shared" si="49"/>
        <v>-1216.3200000000038</v>
      </c>
      <c r="AC74" s="289">
        <f t="shared" si="49"/>
        <v>-1223.0400000000038</v>
      </c>
      <c r="AD74" s="289">
        <f t="shared" si="49"/>
        <v>-1229.7600000000039</v>
      </c>
      <c r="AE74" s="289">
        <f t="shared" si="49"/>
        <v>-1236.4800000000039</v>
      </c>
      <c r="AF74" s="289">
        <f t="shared" si="49"/>
        <v>-1243.2000000000039</v>
      </c>
      <c r="AG74" s="289">
        <f t="shared" si="49"/>
        <v>-1249.9200000000039</v>
      </c>
      <c r="AH74" s="289">
        <f t="shared" si="49"/>
        <v>-1249.9200000000039</v>
      </c>
      <c r="AI74" s="289">
        <f t="shared" si="49"/>
        <v>-1249.9200000000039</v>
      </c>
      <c r="AJ74" s="289">
        <f t="shared" si="49"/>
        <v>-1256.640000000004</v>
      </c>
      <c r="AK74" s="289">
        <f t="shared" si="49"/>
        <v>-1263.360000000004</v>
      </c>
      <c r="AL74" s="289">
        <f t="shared" si="49"/>
        <v>-1263.360000000004</v>
      </c>
      <c r="AM74" s="290">
        <f>AL74</f>
        <v>-1263.360000000004</v>
      </c>
    </row>
    <row r="75" spans="2:40" ht="12.75" customHeight="1" x14ac:dyDescent="0.2">
      <c r="B75" s="250"/>
      <c r="C75" s="11"/>
      <c r="D75" s="250"/>
      <c r="E75" s="250"/>
      <c r="F75" s="574"/>
      <c r="G75" s="203" t="s">
        <v>71</v>
      </c>
      <c r="H75" s="291">
        <f>H74/TaginSt</f>
        <v>-133.60000000000039</v>
      </c>
      <c r="I75" s="247">
        <f t="shared" ref="I75:AL75" si="50">I74/TaginSt</f>
        <v>-134.4000000000004</v>
      </c>
      <c r="J75" s="247">
        <f t="shared" si="50"/>
        <v>-135.20000000000041</v>
      </c>
      <c r="K75" s="247">
        <f t="shared" si="50"/>
        <v>-136.0000000000004</v>
      </c>
      <c r="L75" s="247">
        <f t="shared" si="50"/>
        <v>-136.80000000000041</v>
      </c>
      <c r="M75" s="247">
        <f t="shared" si="50"/>
        <v>-136.80000000000041</v>
      </c>
      <c r="N75" s="247">
        <f t="shared" si="50"/>
        <v>-136.80000000000041</v>
      </c>
      <c r="O75" s="247">
        <f t="shared" si="50"/>
        <v>-137.60000000000042</v>
      </c>
      <c r="P75" s="247">
        <f t="shared" si="50"/>
        <v>-138.40000000000043</v>
      </c>
      <c r="Q75" s="247">
        <f t="shared" si="50"/>
        <v>-139.20000000000041</v>
      </c>
      <c r="R75" s="247">
        <f t="shared" si="50"/>
        <v>-140.00000000000043</v>
      </c>
      <c r="S75" s="247">
        <f t="shared" si="50"/>
        <v>-140.80000000000044</v>
      </c>
      <c r="T75" s="247">
        <f t="shared" si="50"/>
        <v>-140.80000000000044</v>
      </c>
      <c r="U75" s="247">
        <f t="shared" si="50"/>
        <v>-140.80000000000044</v>
      </c>
      <c r="V75" s="247">
        <f t="shared" si="50"/>
        <v>-141.60000000000042</v>
      </c>
      <c r="W75" s="247">
        <f t="shared" si="50"/>
        <v>-142.40000000000043</v>
      </c>
      <c r="X75" s="247">
        <f t="shared" si="50"/>
        <v>-143.20000000000044</v>
      </c>
      <c r="Y75" s="247">
        <f t="shared" si="50"/>
        <v>-144.00000000000045</v>
      </c>
      <c r="Z75" s="247">
        <f t="shared" si="50"/>
        <v>-144.80000000000044</v>
      </c>
      <c r="AA75" s="247">
        <f t="shared" si="50"/>
        <v>-144.80000000000044</v>
      </c>
      <c r="AB75" s="247">
        <f t="shared" si="50"/>
        <v>-144.80000000000044</v>
      </c>
      <c r="AC75" s="247">
        <f t="shared" si="50"/>
        <v>-145.60000000000045</v>
      </c>
      <c r="AD75" s="247">
        <f t="shared" si="50"/>
        <v>-146.40000000000046</v>
      </c>
      <c r="AE75" s="247">
        <f t="shared" si="50"/>
        <v>-147.20000000000044</v>
      </c>
      <c r="AF75" s="247">
        <f t="shared" si="50"/>
        <v>-148.00000000000045</v>
      </c>
      <c r="AG75" s="247">
        <f t="shared" si="50"/>
        <v>-148.80000000000047</v>
      </c>
      <c r="AH75" s="247">
        <f t="shared" si="50"/>
        <v>-148.80000000000047</v>
      </c>
      <c r="AI75" s="247">
        <f t="shared" si="50"/>
        <v>-148.80000000000047</v>
      </c>
      <c r="AJ75" s="247">
        <f t="shared" si="50"/>
        <v>-149.60000000000048</v>
      </c>
      <c r="AK75" s="247">
        <f t="shared" si="50"/>
        <v>-150.40000000000046</v>
      </c>
      <c r="AL75" s="247">
        <f t="shared" si="50"/>
        <v>-150.40000000000046</v>
      </c>
      <c r="AM75" s="292">
        <f>AL75</f>
        <v>-150.40000000000046</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cu5eApQJ9gjrY4NRosBlF0AvSaXqsWPgnpiQD4OGvUvvUCUXA6B/hn+lCjX5tO7wkWAoTScIHnrumjacDaF1HA==" saltValue="xaZDfGOa+/sC9SvnYGRsQg==" spinCount="100000" sheet="1" objects="1" scenarios="1"/>
  <mergeCells count="29">
    <mergeCell ref="AO42:AO53"/>
    <mergeCell ref="F42:F55"/>
    <mergeCell ref="F78:G78"/>
    <mergeCell ref="F14:F15"/>
    <mergeCell ref="B17:B18"/>
    <mergeCell ref="C17:C18"/>
    <mergeCell ref="F26:F28"/>
    <mergeCell ref="F30:F38"/>
    <mergeCell ref="F56:F68"/>
    <mergeCell ref="F74:F75"/>
    <mergeCell ref="F17:F24"/>
    <mergeCell ref="F41:G41"/>
    <mergeCell ref="D79:E91"/>
    <mergeCell ref="F79:G79"/>
    <mergeCell ref="F80:G80"/>
    <mergeCell ref="F81:G81"/>
    <mergeCell ref="F82:G82"/>
    <mergeCell ref="F83:G83"/>
    <mergeCell ref="F84:G84"/>
    <mergeCell ref="F85:G85"/>
    <mergeCell ref="F86:G86"/>
    <mergeCell ref="F87:G87"/>
    <mergeCell ref="F94:G94"/>
    <mergeCell ref="F88:G88"/>
    <mergeCell ref="F89:G89"/>
    <mergeCell ref="F90:G90"/>
    <mergeCell ref="F91:G91"/>
    <mergeCell ref="F92:G92"/>
    <mergeCell ref="F93:G93"/>
  </mergeCells>
  <conditionalFormatting sqref="H11:AL12">
    <cfRule type="expression" dxfId="65" priority="10">
      <formula>OR(WEEKDAY(H$12,2)=7,IF(ISERROR(VLOOKUP(H$12,Feiertagsanspruch,1,FALSE)),0,VLOOKUP(H$12,Feiertagsanspruch,1,FALSE)))</formula>
    </cfRule>
  </conditionalFormatting>
  <conditionalFormatting sqref="H17:AL24">
    <cfRule type="expression" dxfId="64" priority="11">
      <formula>OR(WEEKDAY(H$12,2)=7,IF(ISERROR(VLOOKUP(H$12,Feiertagsanspruch,1,FALSE)),0,VLOOKUP(H$12,Feiertagsanspruch,1,FALSE)))</formula>
    </cfRule>
  </conditionalFormatting>
  <conditionalFormatting sqref="H30:AL32 H35:AL38">
    <cfRule type="expression" dxfId="63" priority="4">
      <formula>H$14=0</formula>
    </cfRule>
  </conditionalFormatting>
  <conditionalFormatting sqref="H33:AL34">
    <cfRule type="expression" dxfId="62" priority="1">
      <formula>H$9=0</formula>
    </cfRule>
  </conditionalFormatting>
  <conditionalFormatting sqref="H74:AL74">
    <cfRule type="cellIs" dxfId="61" priority="8" stopIfTrue="1" operator="lessThan">
      <formula>-20</formula>
    </cfRule>
    <cfRule type="cellIs" dxfId="60" priority="9" stopIfTrue="1" operator="greaterThan">
      <formula>50</formula>
    </cfRule>
  </conditionalFormatting>
  <conditionalFormatting sqref="H75:AL75">
    <cfRule type="cellIs" dxfId="59" priority="6" stopIfTrue="1" operator="lessThan">
      <formula>-2.38095238095238</formula>
    </cfRule>
    <cfRule type="cellIs" dxfId="58" priority="7" stopIfTrue="1" operator="greaterThan">
      <formula>5.95238095238095</formula>
    </cfRule>
  </conditionalFormatting>
  <dataValidations count="13">
    <dataValidation allowBlank="1" sqref="H29:AL29" xr:uid="{8DF9A8A7-6D60-4AEE-8575-DD255C069083}"/>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FC988DF0-AB2D-487F-A7BB-429B3AA4D258}">
      <formula1>AND(H35&lt;=H6,H35&gt;0,SUM(H30:H38)&lt;=H6,COUNTA(H29:H37)&lt;=MaxAbwesenheitenproTag,OR(H31=""))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CA90657B-7493-44EF-B310-3B53DD218B24}">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48ACDC23-A140-4D5F-8BC5-9DB757122142}">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7919B20F-D2EE-4463-8D93-A454491BBAB0}">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247B85AB-6786-45A7-9AD7-720CF50FB4CE}">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10BCB214-1B84-4610-9E09-E32580A58193}">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66F71B9C-3979-4EA9-BD2B-512A5AEE3575}">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B0E03CF9-B147-4BCD-8A86-83A634F3FFC0}">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D385DD92-7528-4A57-92F8-9C69D76CE0B0}">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43BCA748-9B25-4A56-BEAD-33B943F7DB84}">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743416E1-F124-49E4-8D88-9915863221D8}">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9E0A70C5-8766-4594-9860-CECE8B0C53A2}">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398C0BE8-0F1E-4038-A531-BAAB09E1E7DF}">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0F379-448F-4CF6-B231-458AA09CFA7A}">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171</v>
      </c>
      <c r="H3" s="171">
        <f t="shared" ref="H3:AI3" si="2">IF(OR(WEEKDAY(H$12,2)=7,H1&gt;0),0,TaginSt-H14-H4)</f>
        <v>0</v>
      </c>
      <c r="I3" s="171">
        <f t="shared" si="2"/>
        <v>0</v>
      </c>
      <c r="J3" s="171">
        <f t="shared" si="2"/>
        <v>0</v>
      </c>
      <c r="K3" s="171">
        <f t="shared" si="2"/>
        <v>8.4</v>
      </c>
      <c r="L3" s="171">
        <f t="shared" si="2"/>
        <v>0</v>
      </c>
      <c r="M3" s="171">
        <f t="shared" si="2"/>
        <v>0</v>
      </c>
      <c r="N3" s="171">
        <f t="shared" si="2"/>
        <v>0</v>
      </c>
      <c r="O3" s="171">
        <f t="shared" si="2"/>
        <v>0</v>
      </c>
      <c r="P3" s="171">
        <f t="shared" si="2"/>
        <v>0</v>
      </c>
      <c r="Q3" s="171">
        <f t="shared" si="2"/>
        <v>0</v>
      </c>
      <c r="R3" s="171">
        <f t="shared" si="2"/>
        <v>8.4</v>
      </c>
      <c r="S3" s="171">
        <f t="shared" si="2"/>
        <v>0</v>
      </c>
      <c r="T3" s="171">
        <f t="shared" si="2"/>
        <v>0</v>
      </c>
      <c r="U3" s="171">
        <f t="shared" si="2"/>
        <v>0</v>
      </c>
      <c r="V3" s="171">
        <f t="shared" si="2"/>
        <v>0</v>
      </c>
      <c r="W3" s="171">
        <f t="shared" si="2"/>
        <v>0</v>
      </c>
      <c r="X3" s="171">
        <f t="shared" si="2"/>
        <v>0</v>
      </c>
      <c r="Y3" s="171">
        <f t="shared" si="2"/>
        <v>8.4</v>
      </c>
      <c r="Z3" s="171">
        <f t="shared" si="2"/>
        <v>0</v>
      </c>
      <c r="AA3" s="171">
        <f t="shared" si="2"/>
        <v>0</v>
      </c>
      <c r="AB3" s="171">
        <f t="shared" si="2"/>
        <v>0</v>
      </c>
      <c r="AC3" s="171">
        <f t="shared" si="2"/>
        <v>0</v>
      </c>
      <c r="AD3" s="171">
        <f t="shared" si="2"/>
        <v>0</v>
      </c>
      <c r="AE3" s="171">
        <f t="shared" si="2"/>
        <v>0</v>
      </c>
      <c r="AF3" s="171">
        <f t="shared" si="2"/>
        <v>8.4</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1.6800000000000006</v>
      </c>
      <c r="I4" s="170">
        <f t="shared" si="3"/>
        <v>1.6800000000000006</v>
      </c>
      <c r="J4" s="170">
        <f t="shared" si="3"/>
        <v>1.6800000000000006</v>
      </c>
      <c r="K4" s="170">
        <f t="shared" si="3"/>
        <v>0</v>
      </c>
      <c r="L4" s="170">
        <f t="shared" si="3"/>
        <v>0</v>
      </c>
      <c r="M4" s="170">
        <f t="shared" si="3"/>
        <v>1.6800000000000006</v>
      </c>
      <c r="N4" s="170">
        <f t="shared" si="3"/>
        <v>1.6800000000000006</v>
      </c>
      <c r="O4" s="170">
        <f t="shared" si="3"/>
        <v>1.6800000000000006</v>
      </c>
      <c r="P4" s="170">
        <f t="shared" si="3"/>
        <v>1.6800000000000006</v>
      </c>
      <c r="Q4" s="170">
        <f t="shared" si="3"/>
        <v>1.6800000000000006</v>
      </c>
      <c r="R4" s="170">
        <f t="shared" si="3"/>
        <v>0</v>
      </c>
      <c r="S4" s="170">
        <f t="shared" si="3"/>
        <v>0</v>
      </c>
      <c r="T4" s="170">
        <f t="shared" si="3"/>
        <v>1.6800000000000006</v>
      </c>
      <c r="U4" s="170">
        <f t="shared" si="3"/>
        <v>1.6800000000000006</v>
      </c>
      <c r="V4" s="170">
        <f t="shared" si="3"/>
        <v>1.6800000000000006</v>
      </c>
      <c r="W4" s="170">
        <f t="shared" si="3"/>
        <v>1.6800000000000006</v>
      </c>
      <c r="X4" s="170">
        <f t="shared" si="3"/>
        <v>1.6800000000000006</v>
      </c>
      <c r="Y4" s="170">
        <f t="shared" si="3"/>
        <v>0</v>
      </c>
      <c r="Z4" s="170">
        <f t="shared" si="3"/>
        <v>0</v>
      </c>
      <c r="AA4" s="170">
        <f t="shared" si="3"/>
        <v>1.6800000000000006</v>
      </c>
      <c r="AB4" s="170">
        <f t="shared" si="3"/>
        <v>1.6800000000000006</v>
      </c>
      <c r="AC4" s="170">
        <f t="shared" si="3"/>
        <v>1.6800000000000006</v>
      </c>
      <c r="AD4" s="170">
        <f t="shared" si="3"/>
        <v>1.6800000000000006</v>
      </c>
      <c r="AE4" s="170">
        <f t="shared" si="3"/>
        <v>1.6800000000000006</v>
      </c>
      <c r="AF4" s="170">
        <f t="shared" si="3"/>
        <v>0</v>
      </c>
      <c r="AG4" s="170">
        <f t="shared" si="3"/>
        <v>0</v>
      </c>
      <c r="AH4" s="170">
        <f t="shared" si="3"/>
        <v>1.6800000000000006</v>
      </c>
      <c r="AI4" s="170">
        <f t="shared" si="3"/>
        <v>1.6800000000000006</v>
      </c>
      <c r="AJ4" s="170">
        <f t="shared" si="3"/>
        <v>1.6800000000000006</v>
      </c>
      <c r="AK4" s="170">
        <f t="shared" si="3"/>
        <v>1.6800000000000006</v>
      </c>
      <c r="AL4" s="170">
        <f t="shared" si="3"/>
        <v>1.6800000000000006</v>
      </c>
      <c r="AM4" s="170">
        <f>SUM(H4:AL4)</f>
        <v>38.64</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1.25</v>
      </c>
      <c r="AM5" s="170"/>
    </row>
    <row r="6" spans="2:39" hidden="1" x14ac:dyDescent="0.2">
      <c r="D6" s="166"/>
      <c r="E6" s="166"/>
      <c r="F6" s="172" t="s">
        <v>7</v>
      </c>
      <c r="G6" s="173" t="s">
        <v>107</v>
      </c>
      <c r="H6" s="174">
        <f t="shared" ref="H6:AI6" si="5">IF(AND(H7=1,H9&gt;0,WEEKDAY(H12,2)&lt;6),(TaginSt-H1)/TaginSt,0)</f>
        <v>1</v>
      </c>
      <c r="I6" s="174">
        <f t="shared" si="5"/>
        <v>1</v>
      </c>
      <c r="J6" s="174">
        <f t="shared" si="5"/>
        <v>1</v>
      </c>
      <c r="K6" s="174">
        <f t="shared" si="5"/>
        <v>0</v>
      </c>
      <c r="L6" s="174">
        <f t="shared" si="5"/>
        <v>0</v>
      </c>
      <c r="M6" s="174">
        <f t="shared" si="5"/>
        <v>1</v>
      </c>
      <c r="N6" s="174">
        <f t="shared" si="5"/>
        <v>1</v>
      </c>
      <c r="O6" s="174">
        <f t="shared" si="5"/>
        <v>1</v>
      </c>
      <c r="P6" s="174">
        <f t="shared" si="5"/>
        <v>1</v>
      </c>
      <c r="Q6" s="174">
        <f t="shared" si="5"/>
        <v>1</v>
      </c>
      <c r="R6" s="174">
        <f t="shared" si="5"/>
        <v>0</v>
      </c>
      <c r="S6" s="174">
        <f t="shared" si="5"/>
        <v>0</v>
      </c>
      <c r="T6" s="174">
        <f t="shared" si="5"/>
        <v>1</v>
      </c>
      <c r="U6" s="174">
        <f t="shared" si="5"/>
        <v>1</v>
      </c>
      <c r="V6" s="174">
        <f t="shared" si="5"/>
        <v>1</v>
      </c>
      <c r="W6" s="174">
        <f t="shared" si="5"/>
        <v>1</v>
      </c>
      <c r="X6" s="174">
        <f t="shared" si="5"/>
        <v>1</v>
      </c>
      <c r="Y6" s="174">
        <f t="shared" si="5"/>
        <v>0</v>
      </c>
      <c r="Z6" s="174">
        <f t="shared" si="5"/>
        <v>0</v>
      </c>
      <c r="AA6" s="174">
        <f t="shared" si="5"/>
        <v>1</v>
      </c>
      <c r="AB6" s="174">
        <f t="shared" si="5"/>
        <v>1</v>
      </c>
      <c r="AC6" s="174">
        <f t="shared" si="5"/>
        <v>1</v>
      </c>
      <c r="AD6" s="174">
        <f t="shared" si="5"/>
        <v>1</v>
      </c>
      <c r="AE6" s="174">
        <f t="shared" si="5"/>
        <v>1</v>
      </c>
      <c r="AF6" s="174">
        <f t="shared" si="5"/>
        <v>0</v>
      </c>
      <c r="AG6" s="174">
        <f t="shared" si="5"/>
        <v>0</v>
      </c>
      <c r="AH6" s="174">
        <f t="shared" si="5"/>
        <v>1</v>
      </c>
      <c r="AI6" s="174">
        <f t="shared" si="5"/>
        <v>1</v>
      </c>
      <c r="AJ6" s="174">
        <f>IFERROR(IF(AND(AJ7=1,AJ9&gt;0,WEEKDAY(AJ12,2)&lt;6),(TaginSt-AJ1)/TaginSt,0),0)</f>
        <v>1</v>
      </c>
      <c r="AK6" s="174">
        <f>IFERROR(IF(AND(AK7=1,AK9&gt;0,WEEKDAY(AK12,2)&lt;6),(TaginSt-AK1)/TaginSt,0),0)</f>
        <v>1</v>
      </c>
      <c r="AL6" s="174">
        <f>IFERROR(IF(AND(AL7=1,AL9&gt;0,WEEKDAY(AL12,2)&lt;6),(TaginSt-AL1)/TaginSt,0),0)</f>
        <v>1</v>
      </c>
      <c r="AM6" s="175"/>
    </row>
    <row r="7" spans="2:39" hidden="1" x14ac:dyDescent="0.2">
      <c r="F7" s="176">
        <v>10</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80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Oktober</v>
      </c>
      <c r="C11" s="184">
        <f>Jahr</f>
        <v>2025</v>
      </c>
      <c r="D11" s="166"/>
      <c r="E11" s="166"/>
      <c r="F11" s="185"/>
      <c r="G11" s="186"/>
      <c r="H11" s="187" t="str">
        <f>TEXT(H12,"TTT")</f>
        <v>Mi</v>
      </c>
      <c r="I11" s="188" t="str">
        <f>TEXT(I12,"TTT")</f>
        <v>Do</v>
      </c>
      <c r="J11" s="188" t="str">
        <f t="shared" ref="J11:L11" si="8">TEXT(J12,"TTT")</f>
        <v>Fr</v>
      </c>
      <c r="K11" s="188" t="str">
        <f t="shared" si="8"/>
        <v>Sa</v>
      </c>
      <c r="L11" s="188" t="str">
        <f t="shared" si="8"/>
        <v>So</v>
      </c>
      <c r="M11" s="188" t="str">
        <f>TEXT(M12,"TTT")</f>
        <v>Mo</v>
      </c>
      <c r="N11" s="188" t="str">
        <f t="shared" ref="N11:AL11" si="9">TEXT(N12,"TTT")</f>
        <v>Di</v>
      </c>
      <c r="O11" s="188" t="str">
        <f t="shared" si="9"/>
        <v>Mi</v>
      </c>
      <c r="P11" s="188" t="str">
        <f t="shared" si="9"/>
        <v>Do</v>
      </c>
      <c r="Q11" s="188" t="str">
        <f t="shared" si="9"/>
        <v>Fr</v>
      </c>
      <c r="R11" s="188" t="str">
        <f t="shared" si="9"/>
        <v>Sa</v>
      </c>
      <c r="S11" s="188" t="str">
        <f t="shared" si="9"/>
        <v>So</v>
      </c>
      <c r="T11" s="188" t="str">
        <f t="shared" si="9"/>
        <v>Mo</v>
      </c>
      <c r="U11" s="188" t="str">
        <f t="shared" si="9"/>
        <v>Di</v>
      </c>
      <c r="V11" s="188" t="str">
        <f t="shared" si="9"/>
        <v>Mi</v>
      </c>
      <c r="W11" s="188" t="str">
        <f t="shared" si="9"/>
        <v>Do</v>
      </c>
      <c r="X11" s="188" t="str">
        <f t="shared" si="9"/>
        <v>Fr</v>
      </c>
      <c r="Y11" s="188" t="str">
        <f t="shared" si="9"/>
        <v>Sa</v>
      </c>
      <c r="Z11" s="188" t="str">
        <f t="shared" si="9"/>
        <v>So</v>
      </c>
      <c r="AA11" s="188" t="str">
        <f t="shared" si="9"/>
        <v>Mo</v>
      </c>
      <c r="AB11" s="188" t="str">
        <f t="shared" si="9"/>
        <v>Di</v>
      </c>
      <c r="AC11" s="188" t="str">
        <f t="shared" si="9"/>
        <v>Mi</v>
      </c>
      <c r="AD11" s="188" t="str">
        <f t="shared" si="9"/>
        <v>Do</v>
      </c>
      <c r="AE11" s="188" t="str">
        <f t="shared" si="9"/>
        <v>Fr</v>
      </c>
      <c r="AF11" s="188" t="str">
        <f t="shared" si="9"/>
        <v>Sa</v>
      </c>
      <c r="AG11" s="188" t="str">
        <f t="shared" si="9"/>
        <v>So</v>
      </c>
      <c r="AH11" s="188" t="str">
        <f t="shared" si="9"/>
        <v>Mo</v>
      </c>
      <c r="AI11" s="188" t="str">
        <f t="shared" si="9"/>
        <v>Di</v>
      </c>
      <c r="AJ11" s="188" t="str">
        <f t="shared" si="9"/>
        <v>Mi</v>
      </c>
      <c r="AK11" s="188" t="str">
        <f t="shared" si="9"/>
        <v>Do</v>
      </c>
      <c r="AL11" s="188" t="str">
        <f t="shared" si="9"/>
        <v>Fr</v>
      </c>
      <c r="AM11" s="188"/>
    </row>
    <row r="12" spans="2:39" ht="12.75" customHeight="1" thickBot="1" x14ac:dyDescent="0.25">
      <c r="B12" s="189" t="str">
        <f>Pfarrer</f>
        <v>Heinz Muster</v>
      </c>
      <c r="C12" s="190"/>
      <c r="D12" s="191"/>
      <c r="E12" s="191"/>
      <c r="F12" s="185"/>
      <c r="G12" s="192" t="s">
        <v>2</v>
      </c>
      <c r="H12" s="193">
        <f>DATE(C11,F7,1)</f>
        <v>44469</v>
      </c>
      <c r="I12" s="194">
        <f>DATE(C11,F7,2)</f>
        <v>44470</v>
      </c>
      <c r="J12" s="194">
        <f>DATE(C11,F7,3)</f>
        <v>44471</v>
      </c>
      <c r="K12" s="194">
        <f>DATE(C11,F7,4)</f>
        <v>44472</v>
      </c>
      <c r="L12" s="194">
        <f>DATE(C11,F7,5)</f>
        <v>44473</v>
      </c>
      <c r="M12" s="194">
        <f>DATE(C11,F7,6)</f>
        <v>44474</v>
      </c>
      <c r="N12" s="194">
        <f>DATE(C11,F7,7)</f>
        <v>44475</v>
      </c>
      <c r="O12" s="194">
        <f>DATE(C11,F7,8)</f>
        <v>44476</v>
      </c>
      <c r="P12" s="194">
        <f>DATE(C11,F7,9)</f>
        <v>44477</v>
      </c>
      <c r="Q12" s="194">
        <f>DATE(C11,F7,10)</f>
        <v>44478</v>
      </c>
      <c r="R12" s="194">
        <f>DATE(C11,F7,11)</f>
        <v>44479</v>
      </c>
      <c r="S12" s="194">
        <f>DATE(C11,F7,12)</f>
        <v>44480</v>
      </c>
      <c r="T12" s="194">
        <f>DATE(C11,F7,13)</f>
        <v>44481</v>
      </c>
      <c r="U12" s="194">
        <f>DATE(C11,F7,14)</f>
        <v>44482</v>
      </c>
      <c r="V12" s="194">
        <f>DATE(C11,F7,15)</f>
        <v>44483</v>
      </c>
      <c r="W12" s="194">
        <f>DATE(C11,F7,16)</f>
        <v>44484</v>
      </c>
      <c r="X12" s="194">
        <f>DATE(C11,F7,17)</f>
        <v>44485</v>
      </c>
      <c r="Y12" s="194">
        <f>DATE(C11,F7,18)</f>
        <v>44486</v>
      </c>
      <c r="Z12" s="194">
        <f>DATE(C11,F7,19)</f>
        <v>44487</v>
      </c>
      <c r="AA12" s="194">
        <f>DATE(C11,F7,20)</f>
        <v>44488</v>
      </c>
      <c r="AB12" s="194">
        <f>DATE(C11,F7,21)</f>
        <v>44489</v>
      </c>
      <c r="AC12" s="194">
        <f>DATE(C11,F7,22)</f>
        <v>44490</v>
      </c>
      <c r="AD12" s="194">
        <f>DATE(C11,F7,23)</f>
        <v>44491</v>
      </c>
      <c r="AE12" s="194">
        <f>DATE(C11,F7,24)</f>
        <v>44492</v>
      </c>
      <c r="AF12" s="194">
        <f>DATE(C11,F7,25)</f>
        <v>44493</v>
      </c>
      <c r="AG12" s="194">
        <f>DATE(C11,F7,26)</f>
        <v>44494</v>
      </c>
      <c r="AH12" s="194">
        <f>DATE(C11,F7,27)</f>
        <v>44495</v>
      </c>
      <c r="AI12" s="194">
        <f>DATE(C11,F7,28)</f>
        <v>44496</v>
      </c>
      <c r="AJ12" s="194">
        <f>IFERROR(IF(MONTH(AI12+1)=MONTH($H$12),AI$12+1,""),"")</f>
        <v>44497</v>
      </c>
      <c r="AK12" s="194">
        <f>IFERROR(IF(MONTH(AJ12+1)=MONTH($H$12),AJ$12+1,""),"")</f>
        <v>44498</v>
      </c>
      <c r="AL12" s="194">
        <f>IFERROR(IF(MONTH(AK12+1)=MONTH($H$12),AK$12+1,""),"")</f>
        <v>44499</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6.72</v>
      </c>
      <c r="I14" s="204">
        <f t="shared" si="10"/>
        <v>6.72</v>
      </c>
      <c r="J14" s="204">
        <f t="shared" si="10"/>
        <v>6.72</v>
      </c>
      <c r="K14" s="204">
        <f t="shared" si="10"/>
        <v>0</v>
      </c>
      <c r="L14" s="204">
        <f t="shared" si="10"/>
        <v>0</v>
      </c>
      <c r="M14" s="204">
        <f t="shared" si="10"/>
        <v>6.72</v>
      </c>
      <c r="N14" s="204">
        <f t="shared" si="10"/>
        <v>6.72</v>
      </c>
      <c r="O14" s="204">
        <f t="shared" si="10"/>
        <v>6.72</v>
      </c>
      <c r="P14" s="204">
        <f t="shared" si="10"/>
        <v>6.72</v>
      </c>
      <c r="Q14" s="204">
        <f t="shared" si="10"/>
        <v>6.72</v>
      </c>
      <c r="R14" s="204">
        <f t="shared" si="10"/>
        <v>0</v>
      </c>
      <c r="S14" s="204">
        <f t="shared" si="10"/>
        <v>0</v>
      </c>
      <c r="T14" s="204">
        <f t="shared" si="10"/>
        <v>6.72</v>
      </c>
      <c r="U14" s="204">
        <f t="shared" si="10"/>
        <v>6.72</v>
      </c>
      <c r="V14" s="204">
        <f t="shared" si="10"/>
        <v>6.72</v>
      </c>
      <c r="W14" s="204">
        <f t="shared" si="10"/>
        <v>6.72</v>
      </c>
      <c r="X14" s="204">
        <f t="shared" si="10"/>
        <v>6.72</v>
      </c>
      <c r="Y14" s="204">
        <f t="shared" si="10"/>
        <v>0</v>
      </c>
      <c r="Z14" s="204">
        <f t="shared" si="10"/>
        <v>0</v>
      </c>
      <c r="AA14" s="204">
        <f t="shared" si="10"/>
        <v>6.72</v>
      </c>
      <c r="AB14" s="204">
        <f t="shared" si="10"/>
        <v>6.72</v>
      </c>
      <c r="AC14" s="204">
        <f t="shared" si="10"/>
        <v>6.72</v>
      </c>
      <c r="AD14" s="204">
        <f t="shared" si="10"/>
        <v>6.72</v>
      </c>
      <c r="AE14" s="204">
        <f t="shared" si="10"/>
        <v>6.72</v>
      </c>
      <c r="AF14" s="204">
        <f t="shared" si="10"/>
        <v>0</v>
      </c>
      <c r="AG14" s="204">
        <f t="shared" si="10"/>
        <v>0</v>
      </c>
      <c r="AH14" s="204">
        <f t="shared" si="10"/>
        <v>6.72</v>
      </c>
      <c r="AI14" s="204">
        <f t="shared" si="10"/>
        <v>6.72</v>
      </c>
      <c r="AJ14" s="204">
        <f>IFERROR(IF(OR(WEEKDAY(AJ12,2)&gt;=6,AJ7=0),0,(TaginSt-AJ1)*AJ9/100),0)</f>
        <v>6.72</v>
      </c>
      <c r="AK14" s="204">
        <f>IFERROR(IF(OR(WEEKDAY(AK12,2)&gt;=6,AK7=0),0,(TaginSt-AK1)*AK9/100),0)</f>
        <v>6.72</v>
      </c>
      <c r="AL14" s="204">
        <f>IFERROR(IF(OR(WEEKDAY(AL12,2)&gt;=6,AL7=0),0,(TaginSt-AL1)*AL9/100),0)</f>
        <v>6.72</v>
      </c>
      <c r="AM14" s="205">
        <f>SUM(H14:AL14)</f>
        <v>154.56</v>
      </c>
    </row>
    <row r="15" spans="2:39" ht="12.75" customHeight="1" x14ac:dyDescent="0.2">
      <c r="D15" s="202"/>
      <c r="E15" s="202"/>
      <c r="F15" s="566"/>
      <c r="G15" s="203" t="s">
        <v>136</v>
      </c>
      <c r="H15" s="204">
        <f t="shared" ref="H15:AL15" si="11">H14/TaginSt</f>
        <v>0.79999999999999993</v>
      </c>
      <c r="I15" s="206">
        <f t="shared" si="11"/>
        <v>0.79999999999999993</v>
      </c>
      <c r="J15" s="206">
        <f t="shared" si="11"/>
        <v>0.79999999999999993</v>
      </c>
      <c r="K15" s="206">
        <f t="shared" si="11"/>
        <v>0</v>
      </c>
      <c r="L15" s="206">
        <f t="shared" si="11"/>
        <v>0</v>
      </c>
      <c r="M15" s="206">
        <f t="shared" si="11"/>
        <v>0.79999999999999993</v>
      </c>
      <c r="N15" s="206">
        <f t="shared" si="11"/>
        <v>0.79999999999999993</v>
      </c>
      <c r="O15" s="206">
        <f t="shared" si="11"/>
        <v>0.79999999999999993</v>
      </c>
      <c r="P15" s="206">
        <f t="shared" si="11"/>
        <v>0.79999999999999993</v>
      </c>
      <c r="Q15" s="206">
        <f t="shared" si="11"/>
        <v>0.79999999999999993</v>
      </c>
      <c r="R15" s="206">
        <f t="shared" si="11"/>
        <v>0</v>
      </c>
      <c r="S15" s="206">
        <f t="shared" si="11"/>
        <v>0</v>
      </c>
      <c r="T15" s="206">
        <f t="shared" si="11"/>
        <v>0.79999999999999993</v>
      </c>
      <c r="U15" s="206">
        <f t="shared" si="11"/>
        <v>0.79999999999999993</v>
      </c>
      <c r="V15" s="206">
        <f t="shared" si="11"/>
        <v>0.79999999999999993</v>
      </c>
      <c r="W15" s="206">
        <f t="shared" si="11"/>
        <v>0.79999999999999993</v>
      </c>
      <c r="X15" s="206">
        <f t="shared" si="11"/>
        <v>0.79999999999999993</v>
      </c>
      <c r="Y15" s="206">
        <f t="shared" si="11"/>
        <v>0</v>
      </c>
      <c r="Z15" s="206">
        <f t="shared" si="11"/>
        <v>0</v>
      </c>
      <c r="AA15" s="206">
        <f t="shared" si="11"/>
        <v>0.79999999999999993</v>
      </c>
      <c r="AB15" s="206">
        <f t="shared" si="11"/>
        <v>0.79999999999999993</v>
      </c>
      <c r="AC15" s="206">
        <f t="shared" si="11"/>
        <v>0.79999999999999993</v>
      </c>
      <c r="AD15" s="206">
        <f t="shared" si="11"/>
        <v>0.79999999999999993</v>
      </c>
      <c r="AE15" s="206">
        <f t="shared" si="11"/>
        <v>0.79999999999999993</v>
      </c>
      <c r="AF15" s="206">
        <f t="shared" si="11"/>
        <v>0</v>
      </c>
      <c r="AG15" s="206">
        <f t="shared" si="11"/>
        <v>0</v>
      </c>
      <c r="AH15" s="206">
        <f t="shared" si="11"/>
        <v>0.79999999999999993</v>
      </c>
      <c r="AI15" s="206">
        <f t="shared" si="11"/>
        <v>0.79999999999999993</v>
      </c>
      <c r="AJ15" s="206">
        <f t="shared" si="11"/>
        <v>0.79999999999999993</v>
      </c>
      <c r="AK15" s="206">
        <f t="shared" si="11"/>
        <v>0.79999999999999993</v>
      </c>
      <c r="AL15" s="206">
        <f t="shared" si="11"/>
        <v>0.79999999999999993</v>
      </c>
      <c r="AM15" s="205">
        <f>SUM(H15:AL15)</f>
        <v>18.400000000000006</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SaldoStdEndeSep</f>
        <v>-1263.360000000004</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Sep!C23-AM42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Sep!C27-AM50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0</v>
      </c>
      <c r="I39" s="263">
        <f t="shared" si="16"/>
        <v>0</v>
      </c>
      <c r="J39" s="263">
        <f t="shared" si="16"/>
        <v>0</v>
      </c>
      <c r="K39" s="263">
        <f t="shared" si="16"/>
        <v>1</v>
      </c>
      <c r="L39" s="263">
        <f>IF(ISERROR(L51/TaginSt),0,L51/TaginSt)</f>
        <v>0</v>
      </c>
      <c r="M39" s="263">
        <f t="shared" si="16"/>
        <v>0</v>
      </c>
      <c r="N39" s="263">
        <f t="shared" si="16"/>
        <v>0</v>
      </c>
      <c r="O39" s="263">
        <f t="shared" si="16"/>
        <v>0</v>
      </c>
      <c r="P39" s="263">
        <f t="shared" si="16"/>
        <v>0</v>
      </c>
      <c r="Q39" s="263">
        <f t="shared" si="16"/>
        <v>0</v>
      </c>
      <c r="R39" s="263">
        <f t="shared" si="16"/>
        <v>1</v>
      </c>
      <c r="S39" s="263">
        <f t="shared" si="16"/>
        <v>0</v>
      </c>
      <c r="T39" s="263">
        <f t="shared" si="16"/>
        <v>0</v>
      </c>
      <c r="U39" s="263">
        <f t="shared" si="16"/>
        <v>0</v>
      </c>
      <c r="V39" s="263">
        <f t="shared" si="16"/>
        <v>0</v>
      </c>
      <c r="W39" s="263">
        <f t="shared" si="16"/>
        <v>0</v>
      </c>
      <c r="X39" s="263">
        <f t="shared" si="16"/>
        <v>0</v>
      </c>
      <c r="Y39" s="263">
        <f t="shared" si="16"/>
        <v>1</v>
      </c>
      <c r="Z39" s="263">
        <f t="shared" si="16"/>
        <v>0</v>
      </c>
      <c r="AA39" s="263">
        <f t="shared" si="16"/>
        <v>0</v>
      </c>
      <c r="AB39" s="263">
        <f t="shared" si="16"/>
        <v>0</v>
      </c>
      <c r="AC39" s="263">
        <f t="shared" si="16"/>
        <v>0</v>
      </c>
      <c r="AD39" s="263">
        <f t="shared" si="16"/>
        <v>0</v>
      </c>
      <c r="AE39" s="263">
        <f t="shared" si="16"/>
        <v>0</v>
      </c>
      <c r="AF39" s="263">
        <f t="shared" si="16"/>
        <v>1</v>
      </c>
      <c r="AG39" s="263">
        <f t="shared" si="16"/>
        <v>0</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459" t="s">
        <v>267</v>
      </c>
      <c r="G40" s="266" t="s">
        <v>188</v>
      </c>
      <c r="H40" s="263">
        <f t="shared" si="16"/>
        <v>1</v>
      </c>
      <c r="I40" s="263">
        <f t="shared" si="16"/>
        <v>1</v>
      </c>
      <c r="J40" s="263">
        <f>IF(ISERROR(J52/TaginSt),0,J52/TaginSt)</f>
        <v>1</v>
      </c>
      <c r="K40" s="263">
        <f t="shared" si="16"/>
        <v>0</v>
      </c>
      <c r="L40" s="263">
        <f t="shared" si="16"/>
        <v>0</v>
      </c>
      <c r="M40" s="263">
        <f t="shared" si="16"/>
        <v>1</v>
      </c>
      <c r="N40" s="263">
        <f t="shared" si="16"/>
        <v>1</v>
      </c>
      <c r="O40" s="263">
        <f t="shared" si="16"/>
        <v>1</v>
      </c>
      <c r="P40" s="263">
        <f t="shared" si="16"/>
        <v>1</v>
      </c>
      <c r="Q40" s="263">
        <f t="shared" si="16"/>
        <v>1</v>
      </c>
      <c r="R40" s="263">
        <f t="shared" si="16"/>
        <v>0</v>
      </c>
      <c r="S40" s="263">
        <f t="shared" si="16"/>
        <v>0</v>
      </c>
      <c r="T40" s="263">
        <f t="shared" si="16"/>
        <v>1</v>
      </c>
      <c r="U40" s="263">
        <f t="shared" si="16"/>
        <v>1</v>
      </c>
      <c r="V40" s="263">
        <f t="shared" si="16"/>
        <v>1</v>
      </c>
      <c r="W40" s="263">
        <f t="shared" si="16"/>
        <v>1</v>
      </c>
      <c r="X40" s="263">
        <f t="shared" si="16"/>
        <v>1</v>
      </c>
      <c r="Y40" s="263">
        <f t="shared" si="16"/>
        <v>0</v>
      </c>
      <c r="Z40" s="263">
        <f t="shared" si="16"/>
        <v>0</v>
      </c>
      <c r="AA40" s="263">
        <f t="shared" si="16"/>
        <v>1</v>
      </c>
      <c r="AB40" s="263">
        <f t="shared" si="16"/>
        <v>1</v>
      </c>
      <c r="AC40" s="263">
        <f t="shared" si="16"/>
        <v>1</v>
      </c>
      <c r="AD40" s="263">
        <f t="shared" si="16"/>
        <v>1</v>
      </c>
      <c r="AE40" s="263">
        <f t="shared" si="16"/>
        <v>1</v>
      </c>
      <c r="AF40" s="263">
        <f t="shared" si="16"/>
        <v>0</v>
      </c>
      <c r="AG40" s="263">
        <f t="shared" si="16"/>
        <v>0</v>
      </c>
      <c r="AH40" s="263">
        <f t="shared" si="16"/>
        <v>1</v>
      </c>
      <c r="AI40" s="263">
        <f t="shared" si="16"/>
        <v>1</v>
      </c>
      <c r="AJ40" s="263">
        <f t="shared" si="16"/>
        <v>1</v>
      </c>
      <c r="AK40" s="263">
        <f t="shared" si="16"/>
        <v>1</v>
      </c>
      <c r="AL40" s="263">
        <f t="shared" si="16"/>
        <v>1</v>
      </c>
      <c r="AM40" s="264">
        <f>SUM(H40:AL40)</f>
        <v>23</v>
      </c>
      <c r="AN40" s="265"/>
    </row>
    <row r="41" spans="2:43" ht="12.75" customHeight="1" x14ac:dyDescent="0.2">
      <c r="D41" s="250"/>
      <c r="E41" s="250"/>
      <c r="F41" s="585" t="s">
        <v>268</v>
      </c>
      <c r="G41" s="586"/>
      <c r="H41" s="267">
        <f t="shared" ref="H41:N41" si="17">IF(ISERROR(H54/TaginSt),0,H54/TaginSt)</f>
        <v>0</v>
      </c>
      <c r="I41" s="267">
        <f t="shared" si="17"/>
        <v>0</v>
      </c>
      <c r="J41" s="267">
        <f t="shared" si="17"/>
        <v>0</v>
      </c>
      <c r="K41" s="267">
        <f t="shared" si="17"/>
        <v>0</v>
      </c>
      <c r="L41" s="267">
        <f t="shared" si="17"/>
        <v>0</v>
      </c>
      <c r="M41" s="267">
        <f t="shared" si="17"/>
        <v>0</v>
      </c>
      <c r="N41" s="267">
        <f t="shared" si="17"/>
        <v>0</v>
      </c>
      <c r="O41" s="267"/>
      <c r="P41" s="267">
        <f t="shared" ref="P41:AL41" si="18">IF(ISERROR(P54/TaginSt),0,P54/TaginSt)</f>
        <v>0</v>
      </c>
      <c r="Q41" s="267">
        <f t="shared" si="18"/>
        <v>0</v>
      </c>
      <c r="R41" s="267">
        <f t="shared" si="18"/>
        <v>0</v>
      </c>
      <c r="S41" s="267">
        <f t="shared" si="18"/>
        <v>0</v>
      </c>
      <c r="T41" s="267">
        <f t="shared" si="18"/>
        <v>0</v>
      </c>
      <c r="U41" s="267">
        <f t="shared" si="18"/>
        <v>0</v>
      </c>
      <c r="V41" s="267">
        <f t="shared" si="18"/>
        <v>0</v>
      </c>
      <c r="W41" s="267">
        <f t="shared" si="18"/>
        <v>0</v>
      </c>
      <c r="X41" s="267">
        <f t="shared" si="18"/>
        <v>0</v>
      </c>
      <c r="Y41" s="267">
        <f t="shared" si="18"/>
        <v>0</v>
      </c>
      <c r="Z41" s="267">
        <f t="shared" si="18"/>
        <v>0</v>
      </c>
      <c r="AA41" s="267">
        <f t="shared" si="18"/>
        <v>0</v>
      </c>
      <c r="AB41" s="267">
        <f t="shared" si="18"/>
        <v>0</v>
      </c>
      <c r="AC41" s="267">
        <f t="shared" si="18"/>
        <v>0</v>
      </c>
      <c r="AD41" s="267">
        <f t="shared" si="18"/>
        <v>0</v>
      </c>
      <c r="AE41" s="267">
        <f t="shared" si="18"/>
        <v>0</v>
      </c>
      <c r="AF41" s="267">
        <f t="shared" si="18"/>
        <v>0</v>
      </c>
      <c r="AG41" s="267">
        <f t="shared" si="18"/>
        <v>0</v>
      </c>
      <c r="AH41" s="267">
        <f t="shared" si="18"/>
        <v>0</v>
      </c>
      <c r="AI41" s="267">
        <f t="shared" si="18"/>
        <v>0</v>
      </c>
      <c r="AJ41" s="267">
        <f t="shared" si="18"/>
        <v>0</v>
      </c>
      <c r="AK41" s="267">
        <f t="shared" si="18"/>
        <v>0</v>
      </c>
      <c r="AL41" s="267">
        <f t="shared" si="18"/>
        <v>0</v>
      </c>
      <c r="AM41" s="268">
        <f>SUM(H41:AL41)</f>
        <v>0</v>
      </c>
      <c r="AN41" s="265"/>
    </row>
    <row r="42" spans="2:43" ht="12.75" hidden="1" customHeight="1" x14ac:dyDescent="0.2">
      <c r="B42" s="256"/>
      <c r="C42" s="257"/>
      <c r="D42" s="250"/>
      <c r="E42" s="250"/>
      <c r="F42" s="563" t="s">
        <v>218</v>
      </c>
      <c r="G42" s="269" t="str">
        <f t="shared" ref="G42:G50" si="19">G30</f>
        <v>Ferien</v>
      </c>
      <c r="H42" s="270">
        <f t="shared" ref="H42:AL42" si="20">H30*TaginSt*H$9/100</f>
        <v>0</v>
      </c>
      <c r="I42" s="270">
        <f t="shared" si="20"/>
        <v>0</v>
      </c>
      <c r="J42" s="270">
        <f t="shared" si="20"/>
        <v>0</v>
      </c>
      <c r="K42" s="270">
        <f t="shared" si="20"/>
        <v>0</v>
      </c>
      <c r="L42" s="270">
        <f t="shared" si="20"/>
        <v>0</v>
      </c>
      <c r="M42" s="270">
        <f t="shared" si="20"/>
        <v>0</v>
      </c>
      <c r="N42" s="270">
        <f t="shared" si="20"/>
        <v>0</v>
      </c>
      <c r="O42" s="270">
        <f t="shared" si="20"/>
        <v>0</v>
      </c>
      <c r="P42" s="270">
        <f t="shared" si="20"/>
        <v>0</v>
      </c>
      <c r="Q42" s="270">
        <f t="shared" si="20"/>
        <v>0</v>
      </c>
      <c r="R42" s="270">
        <f t="shared" si="20"/>
        <v>0</v>
      </c>
      <c r="S42" s="270">
        <f t="shared" si="20"/>
        <v>0</v>
      </c>
      <c r="T42" s="270">
        <f t="shared" si="20"/>
        <v>0</v>
      </c>
      <c r="U42" s="270">
        <f t="shared" si="20"/>
        <v>0</v>
      </c>
      <c r="V42" s="270">
        <f t="shared" si="20"/>
        <v>0</v>
      </c>
      <c r="W42" s="270">
        <f t="shared" si="20"/>
        <v>0</v>
      </c>
      <c r="X42" s="270">
        <f t="shared" si="20"/>
        <v>0</v>
      </c>
      <c r="Y42" s="270">
        <f t="shared" si="20"/>
        <v>0</v>
      </c>
      <c r="Z42" s="270">
        <f t="shared" si="20"/>
        <v>0</v>
      </c>
      <c r="AA42" s="270">
        <f t="shared" si="20"/>
        <v>0</v>
      </c>
      <c r="AB42" s="270">
        <f t="shared" si="20"/>
        <v>0</v>
      </c>
      <c r="AC42" s="270">
        <f t="shared" si="20"/>
        <v>0</v>
      </c>
      <c r="AD42" s="270">
        <f t="shared" si="20"/>
        <v>0</v>
      </c>
      <c r="AE42" s="270">
        <f t="shared" si="20"/>
        <v>0</v>
      </c>
      <c r="AF42" s="270">
        <f t="shared" si="20"/>
        <v>0</v>
      </c>
      <c r="AG42" s="270">
        <f t="shared" si="20"/>
        <v>0</v>
      </c>
      <c r="AH42" s="270">
        <f t="shared" si="20"/>
        <v>0</v>
      </c>
      <c r="AI42" s="270">
        <f t="shared" si="20"/>
        <v>0</v>
      </c>
      <c r="AJ42" s="270">
        <f t="shared" si="20"/>
        <v>0</v>
      </c>
      <c r="AK42" s="270">
        <f t="shared" si="20"/>
        <v>0</v>
      </c>
      <c r="AL42" s="270">
        <f t="shared" si="20"/>
        <v>0</v>
      </c>
      <c r="AM42" s="271">
        <f t="shared" ref="AM42:AM55" si="21">SUM(H42:AL42)</f>
        <v>0</v>
      </c>
      <c r="AN42" s="272"/>
      <c r="AO42" s="562" t="s">
        <v>198</v>
      </c>
    </row>
    <row r="43" spans="2:43" ht="12.75" hidden="1" customHeight="1" x14ac:dyDescent="0.2">
      <c r="B43" s="256"/>
      <c r="C43" s="257"/>
      <c r="D43" s="250"/>
      <c r="E43" s="250"/>
      <c r="F43" s="564"/>
      <c r="G43" s="269" t="str">
        <f t="shared" si="19"/>
        <v>Krank./Unfall (%)</v>
      </c>
      <c r="H43" s="270">
        <f t="shared" ref="H43:AL43" si="22">H31*H14</f>
        <v>0</v>
      </c>
      <c r="I43" s="270">
        <f t="shared" si="22"/>
        <v>0</v>
      </c>
      <c r="J43" s="270">
        <f t="shared" si="22"/>
        <v>0</v>
      </c>
      <c r="K43" s="270">
        <f t="shared" si="22"/>
        <v>0</v>
      </c>
      <c r="L43" s="270">
        <f t="shared" si="22"/>
        <v>0</v>
      </c>
      <c r="M43" s="270">
        <f t="shared" si="22"/>
        <v>0</v>
      </c>
      <c r="N43" s="270">
        <f t="shared" si="22"/>
        <v>0</v>
      </c>
      <c r="O43" s="270">
        <f t="shared" si="22"/>
        <v>0</v>
      </c>
      <c r="P43" s="270">
        <f t="shared" si="22"/>
        <v>0</v>
      </c>
      <c r="Q43" s="270">
        <f t="shared" si="22"/>
        <v>0</v>
      </c>
      <c r="R43" s="270">
        <f t="shared" si="22"/>
        <v>0</v>
      </c>
      <c r="S43" s="270">
        <f t="shared" si="22"/>
        <v>0</v>
      </c>
      <c r="T43" s="270">
        <f t="shared" si="22"/>
        <v>0</v>
      </c>
      <c r="U43" s="270">
        <f t="shared" si="22"/>
        <v>0</v>
      </c>
      <c r="V43" s="270">
        <f t="shared" si="22"/>
        <v>0</v>
      </c>
      <c r="W43" s="270">
        <f t="shared" si="22"/>
        <v>0</v>
      </c>
      <c r="X43" s="270">
        <f t="shared" si="22"/>
        <v>0</v>
      </c>
      <c r="Y43" s="270">
        <f t="shared" si="22"/>
        <v>0</v>
      </c>
      <c r="Z43" s="270">
        <f t="shared" si="22"/>
        <v>0</v>
      </c>
      <c r="AA43" s="270">
        <f t="shared" si="22"/>
        <v>0</v>
      </c>
      <c r="AB43" s="270">
        <f t="shared" si="22"/>
        <v>0</v>
      </c>
      <c r="AC43" s="270">
        <f t="shared" si="22"/>
        <v>0</v>
      </c>
      <c r="AD43" s="270">
        <f t="shared" si="22"/>
        <v>0</v>
      </c>
      <c r="AE43" s="270">
        <f t="shared" si="22"/>
        <v>0</v>
      </c>
      <c r="AF43" s="270">
        <f t="shared" si="22"/>
        <v>0</v>
      </c>
      <c r="AG43" s="270">
        <f t="shared" si="22"/>
        <v>0</v>
      </c>
      <c r="AH43" s="270">
        <f t="shared" si="22"/>
        <v>0</v>
      </c>
      <c r="AI43" s="270">
        <f t="shared" si="22"/>
        <v>0</v>
      </c>
      <c r="AJ43" s="270">
        <f t="shared" si="22"/>
        <v>0</v>
      </c>
      <c r="AK43" s="270">
        <f t="shared" si="22"/>
        <v>0</v>
      </c>
      <c r="AL43" s="270">
        <f t="shared" si="22"/>
        <v>0</v>
      </c>
      <c r="AM43" s="271">
        <f t="shared" si="21"/>
        <v>0</v>
      </c>
      <c r="AN43" s="272"/>
      <c r="AO43" s="562"/>
    </row>
    <row r="44" spans="2:43" ht="12.75" hidden="1" customHeight="1" x14ac:dyDescent="0.2">
      <c r="B44" s="256"/>
      <c r="C44" s="257"/>
      <c r="D44" s="250"/>
      <c r="E44" s="250"/>
      <c r="F44" s="564"/>
      <c r="G44" s="269" t="str">
        <f t="shared" si="19"/>
        <v>Kurzurl./öff. Amt</v>
      </c>
      <c r="H44" s="270">
        <f t="shared" ref="H44:AL44" si="23">H32*TaginSt*H$9/100</f>
        <v>0</v>
      </c>
      <c r="I44" s="270">
        <f t="shared" si="23"/>
        <v>0</v>
      </c>
      <c r="J44" s="270">
        <f t="shared" si="23"/>
        <v>0</v>
      </c>
      <c r="K44" s="270">
        <f t="shared" si="23"/>
        <v>0</v>
      </c>
      <c r="L44" s="270">
        <f t="shared" si="23"/>
        <v>0</v>
      </c>
      <c r="M44" s="270">
        <f t="shared" si="23"/>
        <v>0</v>
      </c>
      <c r="N44" s="270">
        <f t="shared" si="23"/>
        <v>0</v>
      </c>
      <c r="O44" s="270">
        <f t="shared" si="23"/>
        <v>0</v>
      </c>
      <c r="P44" s="273">
        <f t="shared" si="23"/>
        <v>0</v>
      </c>
      <c r="Q44" s="270">
        <f t="shared" si="23"/>
        <v>0</v>
      </c>
      <c r="R44" s="270">
        <f t="shared" si="23"/>
        <v>0</v>
      </c>
      <c r="S44" s="270">
        <f t="shared" si="23"/>
        <v>0</v>
      </c>
      <c r="T44" s="270">
        <f t="shared" si="23"/>
        <v>0</v>
      </c>
      <c r="U44" s="270">
        <f t="shared" si="23"/>
        <v>0</v>
      </c>
      <c r="V44" s="270">
        <f t="shared" si="23"/>
        <v>0</v>
      </c>
      <c r="W44" s="270">
        <f t="shared" si="23"/>
        <v>0</v>
      </c>
      <c r="X44" s="270">
        <f t="shared" si="23"/>
        <v>0</v>
      </c>
      <c r="Y44" s="270">
        <f t="shared" si="23"/>
        <v>0</v>
      </c>
      <c r="Z44" s="270">
        <f t="shared" si="23"/>
        <v>0</v>
      </c>
      <c r="AA44" s="270">
        <f t="shared" si="23"/>
        <v>0</v>
      </c>
      <c r="AB44" s="270">
        <f t="shared" si="23"/>
        <v>0</v>
      </c>
      <c r="AC44" s="270">
        <f t="shared" si="23"/>
        <v>0</v>
      </c>
      <c r="AD44" s="270">
        <f t="shared" si="23"/>
        <v>0</v>
      </c>
      <c r="AE44" s="270">
        <f t="shared" si="23"/>
        <v>0</v>
      </c>
      <c r="AF44" s="270">
        <f t="shared" si="23"/>
        <v>0</v>
      </c>
      <c r="AG44" s="270">
        <f t="shared" si="23"/>
        <v>0</v>
      </c>
      <c r="AH44" s="270">
        <f t="shared" si="23"/>
        <v>0</v>
      </c>
      <c r="AI44" s="270">
        <f t="shared" si="23"/>
        <v>0</v>
      </c>
      <c r="AJ44" s="270">
        <f t="shared" si="23"/>
        <v>0</v>
      </c>
      <c r="AK44" s="270">
        <f t="shared" si="23"/>
        <v>0</v>
      </c>
      <c r="AL44" s="270">
        <f t="shared" si="23"/>
        <v>0</v>
      </c>
      <c r="AM44" s="271">
        <f t="shared" si="21"/>
        <v>0</v>
      </c>
      <c r="AN44" s="272"/>
      <c r="AO44" s="562"/>
    </row>
    <row r="45" spans="2:43" ht="12.75" hidden="1" customHeight="1" x14ac:dyDescent="0.2">
      <c r="B45" s="256"/>
      <c r="C45" s="257"/>
      <c r="D45" s="250"/>
      <c r="E45" s="250"/>
      <c r="F45" s="564"/>
      <c r="G45" s="269" t="str">
        <f t="shared" si="19"/>
        <v>Militär/CT/ZS/J&amp;S</v>
      </c>
      <c r="H45" s="270">
        <f t="shared" ref="H45:AL45" si="24">H33*TaginSt*H$9/100</f>
        <v>0</v>
      </c>
      <c r="I45" s="270">
        <f t="shared" si="24"/>
        <v>0</v>
      </c>
      <c r="J45" s="270">
        <f t="shared" si="24"/>
        <v>0</v>
      </c>
      <c r="K45" s="270">
        <f t="shared" si="24"/>
        <v>0</v>
      </c>
      <c r="L45" s="270">
        <f t="shared" si="24"/>
        <v>0</v>
      </c>
      <c r="M45" s="270">
        <f t="shared" si="24"/>
        <v>0</v>
      </c>
      <c r="N45" s="270">
        <f t="shared" si="24"/>
        <v>0</v>
      </c>
      <c r="O45" s="270">
        <f t="shared" si="24"/>
        <v>0</v>
      </c>
      <c r="P45" s="270">
        <f t="shared" si="24"/>
        <v>0</v>
      </c>
      <c r="Q45" s="270">
        <f t="shared" si="24"/>
        <v>0</v>
      </c>
      <c r="R45" s="270">
        <f t="shared" si="24"/>
        <v>0</v>
      </c>
      <c r="S45" s="270">
        <f t="shared" si="24"/>
        <v>0</v>
      </c>
      <c r="T45" s="270">
        <f t="shared" si="24"/>
        <v>0</v>
      </c>
      <c r="U45" s="270">
        <f t="shared" si="24"/>
        <v>0</v>
      </c>
      <c r="V45" s="270">
        <f t="shared" si="24"/>
        <v>0</v>
      </c>
      <c r="W45" s="270">
        <f t="shared" si="24"/>
        <v>0</v>
      </c>
      <c r="X45" s="270">
        <f t="shared" si="24"/>
        <v>0</v>
      </c>
      <c r="Y45" s="270">
        <f t="shared" si="24"/>
        <v>0</v>
      </c>
      <c r="Z45" s="270">
        <f t="shared" si="24"/>
        <v>0</v>
      </c>
      <c r="AA45" s="270">
        <f t="shared" si="24"/>
        <v>0</v>
      </c>
      <c r="AB45" s="270">
        <f t="shared" si="24"/>
        <v>0</v>
      </c>
      <c r="AC45" s="270">
        <f t="shared" si="24"/>
        <v>0</v>
      </c>
      <c r="AD45" s="270">
        <f t="shared" si="24"/>
        <v>0</v>
      </c>
      <c r="AE45" s="270">
        <f t="shared" si="24"/>
        <v>0</v>
      </c>
      <c r="AF45" s="270">
        <f t="shared" si="24"/>
        <v>0</v>
      </c>
      <c r="AG45" s="270">
        <f t="shared" si="24"/>
        <v>0</v>
      </c>
      <c r="AH45" s="270">
        <f t="shared" si="24"/>
        <v>0</v>
      </c>
      <c r="AI45" s="270">
        <f t="shared" si="24"/>
        <v>0</v>
      </c>
      <c r="AJ45" s="270">
        <f t="shared" si="24"/>
        <v>0</v>
      </c>
      <c r="AK45" s="270">
        <f t="shared" si="24"/>
        <v>0</v>
      </c>
      <c r="AL45" s="270">
        <f t="shared" si="24"/>
        <v>0</v>
      </c>
      <c r="AM45" s="271">
        <f t="shared" si="21"/>
        <v>0</v>
      </c>
      <c r="AN45" s="272"/>
      <c r="AO45" s="562"/>
    </row>
    <row r="46" spans="2:43" ht="12.75" hidden="1" customHeight="1" x14ac:dyDescent="0.2">
      <c r="B46" s="256"/>
      <c r="C46" s="257"/>
      <c r="D46" s="250"/>
      <c r="E46" s="250"/>
      <c r="F46" s="564"/>
      <c r="G46" s="269" t="str">
        <f t="shared" si="19"/>
        <v>Weiterbildung</v>
      </c>
      <c r="H46" s="270">
        <f t="shared" ref="H46:AL46" si="25">H34*TaginSt*H$9/100</f>
        <v>0</v>
      </c>
      <c r="I46" s="270">
        <f t="shared" si="25"/>
        <v>0</v>
      </c>
      <c r="J46" s="270">
        <f t="shared" si="25"/>
        <v>0</v>
      </c>
      <c r="K46" s="270">
        <f t="shared" si="25"/>
        <v>0</v>
      </c>
      <c r="L46" s="270">
        <f t="shared" si="25"/>
        <v>0</v>
      </c>
      <c r="M46" s="270">
        <f t="shared" si="25"/>
        <v>0</v>
      </c>
      <c r="N46" s="270">
        <f t="shared" si="25"/>
        <v>0</v>
      </c>
      <c r="O46" s="270">
        <f t="shared" si="25"/>
        <v>0</v>
      </c>
      <c r="P46" s="270">
        <f t="shared" si="25"/>
        <v>0</v>
      </c>
      <c r="Q46" s="270">
        <f t="shared" si="25"/>
        <v>0</v>
      </c>
      <c r="R46" s="270">
        <f t="shared" si="25"/>
        <v>0</v>
      </c>
      <c r="S46" s="270">
        <f t="shared" si="25"/>
        <v>0</v>
      </c>
      <c r="T46" s="270">
        <f t="shared" si="25"/>
        <v>0</v>
      </c>
      <c r="U46" s="270">
        <f t="shared" si="25"/>
        <v>0</v>
      </c>
      <c r="V46" s="270">
        <f t="shared" si="25"/>
        <v>0</v>
      </c>
      <c r="W46" s="270">
        <f t="shared" si="25"/>
        <v>0</v>
      </c>
      <c r="X46" s="270">
        <f t="shared" si="25"/>
        <v>0</v>
      </c>
      <c r="Y46" s="270">
        <f t="shared" si="25"/>
        <v>0</v>
      </c>
      <c r="Z46" s="270">
        <f t="shared" si="25"/>
        <v>0</v>
      </c>
      <c r="AA46" s="270">
        <f t="shared" si="25"/>
        <v>0</v>
      </c>
      <c r="AB46" s="270">
        <f t="shared" si="25"/>
        <v>0</v>
      </c>
      <c r="AC46" s="270">
        <f t="shared" si="25"/>
        <v>0</v>
      </c>
      <c r="AD46" s="270">
        <f t="shared" si="25"/>
        <v>0</v>
      </c>
      <c r="AE46" s="270">
        <f t="shared" si="25"/>
        <v>0</v>
      </c>
      <c r="AF46" s="270">
        <f t="shared" si="25"/>
        <v>0</v>
      </c>
      <c r="AG46" s="270">
        <f t="shared" si="25"/>
        <v>0</v>
      </c>
      <c r="AH46" s="270">
        <f t="shared" si="25"/>
        <v>0</v>
      </c>
      <c r="AI46" s="270">
        <f t="shared" si="25"/>
        <v>0</v>
      </c>
      <c r="AJ46" s="270">
        <f t="shared" si="25"/>
        <v>0</v>
      </c>
      <c r="AK46" s="270">
        <f t="shared" si="25"/>
        <v>0</v>
      </c>
      <c r="AL46" s="270">
        <f t="shared" si="25"/>
        <v>0</v>
      </c>
      <c r="AM46" s="271">
        <f t="shared" si="21"/>
        <v>0</v>
      </c>
      <c r="AN46" s="272"/>
      <c r="AO46" s="562"/>
    </row>
    <row r="47" spans="2:43" ht="12.75" hidden="1" customHeight="1" x14ac:dyDescent="0.2">
      <c r="B47" s="256"/>
      <c r="C47" s="257"/>
      <c r="D47" s="250"/>
      <c r="E47" s="250"/>
      <c r="F47" s="564"/>
      <c r="G47" s="269" t="str">
        <f t="shared" si="19"/>
        <v>Studienurlaub</v>
      </c>
      <c r="H47" s="270">
        <f t="shared" ref="H47:AL47" si="26">H35*TaginSt*H$9/100</f>
        <v>0</v>
      </c>
      <c r="I47" s="270">
        <f t="shared" si="26"/>
        <v>0</v>
      </c>
      <c r="J47" s="270">
        <f t="shared" si="26"/>
        <v>0</v>
      </c>
      <c r="K47" s="270">
        <f t="shared" si="26"/>
        <v>0</v>
      </c>
      <c r="L47" s="270">
        <f t="shared" si="26"/>
        <v>0</v>
      </c>
      <c r="M47" s="270">
        <f t="shared" si="26"/>
        <v>0</v>
      </c>
      <c r="N47" s="270">
        <f t="shared" si="26"/>
        <v>0</v>
      </c>
      <c r="O47" s="270">
        <f t="shared" si="26"/>
        <v>0</v>
      </c>
      <c r="P47" s="270">
        <f t="shared" si="26"/>
        <v>0</v>
      </c>
      <c r="Q47" s="270">
        <f t="shared" si="26"/>
        <v>0</v>
      </c>
      <c r="R47" s="270">
        <f t="shared" si="26"/>
        <v>0</v>
      </c>
      <c r="S47" s="270">
        <f t="shared" si="26"/>
        <v>0</v>
      </c>
      <c r="T47" s="270">
        <f t="shared" si="26"/>
        <v>0</v>
      </c>
      <c r="U47" s="270">
        <f t="shared" si="26"/>
        <v>0</v>
      </c>
      <c r="V47" s="270">
        <f t="shared" si="26"/>
        <v>0</v>
      </c>
      <c r="W47" s="270">
        <f t="shared" si="26"/>
        <v>0</v>
      </c>
      <c r="X47" s="270">
        <f t="shared" si="26"/>
        <v>0</v>
      </c>
      <c r="Y47" s="270">
        <f t="shared" si="26"/>
        <v>0</v>
      </c>
      <c r="Z47" s="270">
        <f t="shared" si="26"/>
        <v>0</v>
      </c>
      <c r="AA47" s="270">
        <f t="shared" si="26"/>
        <v>0</v>
      </c>
      <c r="AB47" s="270">
        <f t="shared" si="26"/>
        <v>0</v>
      </c>
      <c r="AC47" s="270">
        <f t="shared" si="26"/>
        <v>0</v>
      </c>
      <c r="AD47" s="270">
        <f t="shared" si="26"/>
        <v>0</v>
      </c>
      <c r="AE47" s="270">
        <f t="shared" si="26"/>
        <v>0</v>
      </c>
      <c r="AF47" s="270">
        <f t="shared" si="26"/>
        <v>0</v>
      </c>
      <c r="AG47" s="270">
        <f t="shared" si="26"/>
        <v>0</v>
      </c>
      <c r="AH47" s="270">
        <f t="shared" si="26"/>
        <v>0</v>
      </c>
      <c r="AI47" s="270">
        <f t="shared" si="26"/>
        <v>0</v>
      </c>
      <c r="AJ47" s="270">
        <f t="shared" si="26"/>
        <v>0</v>
      </c>
      <c r="AK47" s="270">
        <f t="shared" si="26"/>
        <v>0</v>
      </c>
      <c r="AL47" s="270">
        <f t="shared" si="26"/>
        <v>0</v>
      </c>
      <c r="AM47" s="271">
        <f>SUM(H47:AL47)</f>
        <v>0</v>
      </c>
      <c r="AN47" s="272"/>
      <c r="AO47" s="562"/>
    </row>
    <row r="48" spans="2:43" ht="12.75" hidden="1" customHeight="1" x14ac:dyDescent="0.2">
      <c r="B48" s="256"/>
      <c r="C48" s="257"/>
      <c r="D48" s="250"/>
      <c r="E48" s="250"/>
      <c r="F48" s="564"/>
      <c r="G48" s="269" t="str">
        <f t="shared" si="19"/>
        <v>Mu-/Vat.</v>
      </c>
      <c r="H48" s="270">
        <f t="shared" ref="H48:AL48" si="27">H36*TaginSt*H$9/100</f>
        <v>0</v>
      </c>
      <c r="I48" s="270">
        <f t="shared" si="27"/>
        <v>0</v>
      </c>
      <c r="J48" s="270">
        <f t="shared" si="27"/>
        <v>0</v>
      </c>
      <c r="K48" s="270">
        <f t="shared" si="27"/>
        <v>0</v>
      </c>
      <c r="L48" s="270">
        <f t="shared" si="27"/>
        <v>0</v>
      </c>
      <c r="M48" s="270">
        <f t="shared" si="27"/>
        <v>0</v>
      </c>
      <c r="N48" s="270">
        <f t="shared" si="27"/>
        <v>0</v>
      </c>
      <c r="O48" s="270">
        <f t="shared" si="27"/>
        <v>0</v>
      </c>
      <c r="P48" s="270">
        <f t="shared" si="27"/>
        <v>0</v>
      </c>
      <c r="Q48" s="270">
        <f t="shared" si="27"/>
        <v>0</v>
      </c>
      <c r="R48" s="270">
        <f t="shared" si="27"/>
        <v>0</v>
      </c>
      <c r="S48" s="270">
        <f t="shared" si="27"/>
        <v>0</v>
      </c>
      <c r="T48" s="270">
        <f t="shared" si="27"/>
        <v>0</v>
      </c>
      <c r="U48" s="270">
        <f t="shared" si="27"/>
        <v>0</v>
      </c>
      <c r="V48" s="270">
        <f t="shared" si="27"/>
        <v>0</v>
      </c>
      <c r="W48" s="270">
        <f t="shared" si="27"/>
        <v>0</v>
      </c>
      <c r="X48" s="270">
        <f t="shared" si="27"/>
        <v>0</v>
      </c>
      <c r="Y48" s="270">
        <f t="shared" si="27"/>
        <v>0</v>
      </c>
      <c r="Z48" s="270">
        <f t="shared" si="27"/>
        <v>0</v>
      </c>
      <c r="AA48" s="270">
        <f t="shared" si="27"/>
        <v>0</v>
      </c>
      <c r="AB48" s="270">
        <f t="shared" si="27"/>
        <v>0</v>
      </c>
      <c r="AC48" s="270">
        <f t="shared" si="27"/>
        <v>0</v>
      </c>
      <c r="AD48" s="270">
        <f t="shared" si="27"/>
        <v>0</v>
      </c>
      <c r="AE48" s="270">
        <f t="shared" si="27"/>
        <v>0</v>
      </c>
      <c r="AF48" s="270">
        <f t="shared" si="27"/>
        <v>0</v>
      </c>
      <c r="AG48" s="270">
        <f t="shared" si="27"/>
        <v>0</v>
      </c>
      <c r="AH48" s="270">
        <f t="shared" si="27"/>
        <v>0</v>
      </c>
      <c r="AI48" s="270">
        <f t="shared" si="27"/>
        <v>0</v>
      </c>
      <c r="AJ48" s="270">
        <f t="shared" si="27"/>
        <v>0</v>
      </c>
      <c r="AK48" s="270">
        <f t="shared" si="27"/>
        <v>0</v>
      </c>
      <c r="AL48" s="270">
        <f t="shared" si="27"/>
        <v>0</v>
      </c>
      <c r="AM48" s="271">
        <f t="shared" si="21"/>
        <v>0</v>
      </c>
      <c r="AN48" s="272"/>
      <c r="AO48" s="562"/>
    </row>
    <row r="49" spans="2:41" ht="12.75" hidden="1" customHeight="1" x14ac:dyDescent="0.2">
      <c r="B49" s="256"/>
      <c r="C49" s="257"/>
      <c r="D49" s="250"/>
      <c r="E49" s="250"/>
      <c r="F49" s="564"/>
      <c r="G49" s="269" t="str">
        <f t="shared" si="19"/>
        <v>Treueprämie</v>
      </c>
      <c r="H49" s="270">
        <f t="shared" ref="H49:AL49" si="28">H37*TaginSt*H$9/100</f>
        <v>0</v>
      </c>
      <c r="I49" s="270">
        <f t="shared" si="28"/>
        <v>0</v>
      </c>
      <c r="J49" s="270">
        <f t="shared" si="28"/>
        <v>0</v>
      </c>
      <c r="K49" s="270">
        <f t="shared" si="28"/>
        <v>0</v>
      </c>
      <c r="L49" s="270">
        <f t="shared" si="28"/>
        <v>0</v>
      </c>
      <c r="M49" s="270">
        <f t="shared" si="28"/>
        <v>0</v>
      </c>
      <c r="N49" s="270">
        <f t="shared" si="28"/>
        <v>0</v>
      </c>
      <c r="O49" s="270">
        <f t="shared" si="28"/>
        <v>0</v>
      </c>
      <c r="P49" s="270">
        <f t="shared" si="28"/>
        <v>0</v>
      </c>
      <c r="Q49" s="270">
        <f t="shared" si="28"/>
        <v>0</v>
      </c>
      <c r="R49" s="270">
        <f t="shared" si="28"/>
        <v>0</v>
      </c>
      <c r="S49" s="270">
        <f t="shared" si="28"/>
        <v>0</v>
      </c>
      <c r="T49" s="270">
        <f t="shared" si="28"/>
        <v>0</v>
      </c>
      <c r="U49" s="270">
        <f t="shared" si="28"/>
        <v>0</v>
      </c>
      <c r="V49" s="270">
        <f t="shared" si="28"/>
        <v>0</v>
      </c>
      <c r="W49" s="270">
        <f t="shared" si="28"/>
        <v>0</v>
      </c>
      <c r="X49" s="270">
        <f t="shared" si="28"/>
        <v>0</v>
      </c>
      <c r="Y49" s="270">
        <f t="shared" si="28"/>
        <v>0</v>
      </c>
      <c r="Z49" s="270">
        <f t="shared" si="28"/>
        <v>0</v>
      </c>
      <c r="AA49" s="270">
        <f t="shared" si="28"/>
        <v>0</v>
      </c>
      <c r="AB49" s="270">
        <f t="shared" si="28"/>
        <v>0</v>
      </c>
      <c r="AC49" s="270">
        <f t="shared" si="28"/>
        <v>0</v>
      </c>
      <c r="AD49" s="270">
        <f t="shared" si="28"/>
        <v>0</v>
      </c>
      <c r="AE49" s="270">
        <f t="shared" si="28"/>
        <v>0</v>
      </c>
      <c r="AF49" s="270">
        <f t="shared" si="28"/>
        <v>0</v>
      </c>
      <c r="AG49" s="270">
        <f t="shared" si="28"/>
        <v>0</v>
      </c>
      <c r="AH49" s="270">
        <f t="shared" si="28"/>
        <v>0</v>
      </c>
      <c r="AI49" s="270">
        <f t="shared" si="28"/>
        <v>0</v>
      </c>
      <c r="AJ49" s="270">
        <f t="shared" si="28"/>
        <v>0</v>
      </c>
      <c r="AK49" s="270">
        <f t="shared" si="28"/>
        <v>0</v>
      </c>
      <c r="AL49" s="270">
        <f t="shared" si="28"/>
        <v>0</v>
      </c>
      <c r="AM49" s="271">
        <f t="shared" si="21"/>
        <v>0</v>
      </c>
      <c r="AN49" s="272"/>
      <c r="AO49" s="562"/>
    </row>
    <row r="50" spans="2:41" ht="12.75" hidden="1" customHeight="1" x14ac:dyDescent="0.2">
      <c r="B50" s="256"/>
      <c r="C50" s="257"/>
      <c r="D50" s="250"/>
      <c r="E50" s="250"/>
      <c r="F50" s="564"/>
      <c r="G50" s="269" t="str">
        <f t="shared" si="19"/>
        <v>Langzeitkonto</v>
      </c>
      <c r="H50" s="270">
        <f t="shared" ref="H50:AL50" si="29">H38*TaginSt*H$9/100</f>
        <v>0</v>
      </c>
      <c r="I50" s="270">
        <f t="shared" si="29"/>
        <v>0</v>
      </c>
      <c r="J50" s="270">
        <f t="shared" si="29"/>
        <v>0</v>
      </c>
      <c r="K50" s="270">
        <f t="shared" si="29"/>
        <v>0</v>
      </c>
      <c r="L50" s="270">
        <f t="shared" si="29"/>
        <v>0</v>
      </c>
      <c r="M50" s="270">
        <f t="shared" si="29"/>
        <v>0</v>
      </c>
      <c r="N50" s="270">
        <f t="shared" si="29"/>
        <v>0</v>
      </c>
      <c r="O50" s="270">
        <f t="shared" si="29"/>
        <v>0</v>
      </c>
      <c r="P50" s="270">
        <f t="shared" si="29"/>
        <v>0</v>
      </c>
      <c r="Q50" s="270">
        <f t="shared" si="29"/>
        <v>0</v>
      </c>
      <c r="R50" s="270">
        <f t="shared" si="29"/>
        <v>0</v>
      </c>
      <c r="S50" s="270">
        <f t="shared" si="29"/>
        <v>0</v>
      </c>
      <c r="T50" s="270">
        <f t="shared" si="29"/>
        <v>0</v>
      </c>
      <c r="U50" s="270">
        <f t="shared" si="29"/>
        <v>0</v>
      </c>
      <c r="V50" s="270">
        <f t="shared" si="29"/>
        <v>0</v>
      </c>
      <c r="W50" s="270">
        <f t="shared" si="29"/>
        <v>0</v>
      </c>
      <c r="X50" s="270">
        <f t="shared" si="29"/>
        <v>0</v>
      </c>
      <c r="Y50" s="270">
        <f t="shared" si="29"/>
        <v>0</v>
      </c>
      <c r="Z50" s="270">
        <f t="shared" si="29"/>
        <v>0</v>
      </c>
      <c r="AA50" s="270">
        <f t="shared" si="29"/>
        <v>0</v>
      </c>
      <c r="AB50" s="270">
        <f t="shared" si="29"/>
        <v>0</v>
      </c>
      <c r="AC50" s="270">
        <f t="shared" si="29"/>
        <v>0</v>
      </c>
      <c r="AD50" s="270">
        <f t="shared" si="29"/>
        <v>0</v>
      </c>
      <c r="AE50" s="270">
        <f t="shared" si="29"/>
        <v>0</v>
      </c>
      <c r="AF50" s="270">
        <f t="shared" si="29"/>
        <v>0</v>
      </c>
      <c r="AG50" s="270">
        <f t="shared" si="29"/>
        <v>0</v>
      </c>
      <c r="AH50" s="270">
        <f t="shared" si="29"/>
        <v>0</v>
      </c>
      <c r="AI50" s="270">
        <f t="shared" si="29"/>
        <v>0</v>
      </c>
      <c r="AJ50" s="270">
        <f t="shared" si="29"/>
        <v>0</v>
      </c>
      <c r="AK50" s="270">
        <f t="shared" si="29"/>
        <v>0</v>
      </c>
      <c r="AL50" s="270">
        <f t="shared" si="29"/>
        <v>0</v>
      </c>
      <c r="AM50" s="271">
        <f t="shared" si="21"/>
        <v>0</v>
      </c>
      <c r="AN50" s="272"/>
      <c r="AO50" s="562"/>
    </row>
    <row r="51" spans="2:41" ht="12.75" hidden="1" customHeight="1" x14ac:dyDescent="0.2">
      <c r="B51" s="256"/>
      <c r="C51" s="257"/>
      <c r="D51" s="250"/>
      <c r="E51" s="250"/>
      <c r="F51" s="564"/>
      <c r="G51" s="269" t="s">
        <v>168</v>
      </c>
      <c r="H51" s="270">
        <f t="shared" ref="H51:AI51" si="30">IF(OR(H3&gt;0,AND(H9=100,OR(WEEKDAY(H12,2)&lt;7,H1&gt;0))),H3+H14-H26,0)</f>
        <v>0</v>
      </c>
      <c r="I51" s="270">
        <f t="shared" si="30"/>
        <v>0</v>
      </c>
      <c r="J51" s="270">
        <f t="shared" si="30"/>
        <v>0</v>
      </c>
      <c r="K51" s="270">
        <f t="shared" si="30"/>
        <v>8.4</v>
      </c>
      <c r="L51" s="270">
        <f t="shared" si="30"/>
        <v>0</v>
      </c>
      <c r="M51" s="270">
        <f t="shared" si="30"/>
        <v>0</v>
      </c>
      <c r="N51" s="270">
        <f t="shared" si="30"/>
        <v>0</v>
      </c>
      <c r="O51" s="270">
        <f t="shared" si="30"/>
        <v>0</v>
      </c>
      <c r="P51" s="270">
        <f t="shared" si="30"/>
        <v>0</v>
      </c>
      <c r="Q51" s="270">
        <f t="shared" si="30"/>
        <v>0</v>
      </c>
      <c r="R51" s="270">
        <f t="shared" si="30"/>
        <v>8.4</v>
      </c>
      <c r="S51" s="270">
        <f t="shared" si="30"/>
        <v>0</v>
      </c>
      <c r="T51" s="270">
        <f t="shared" si="30"/>
        <v>0</v>
      </c>
      <c r="U51" s="270">
        <f t="shared" si="30"/>
        <v>0</v>
      </c>
      <c r="V51" s="270">
        <f t="shared" si="30"/>
        <v>0</v>
      </c>
      <c r="W51" s="270">
        <f t="shared" si="30"/>
        <v>0</v>
      </c>
      <c r="X51" s="270">
        <f t="shared" si="30"/>
        <v>0</v>
      </c>
      <c r="Y51" s="270">
        <f t="shared" si="30"/>
        <v>8.4</v>
      </c>
      <c r="Z51" s="270">
        <f t="shared" si="30"/>
        <v>0</v>
      </c>
      <c r="AA51" s="270">
        <f t="shared" si="30"/>
        <v>0</v>
      </c>
      <c r="AB51" s="270">
        <f t="shared" si="30"/>
        <v>0</v>
      </c>
      <c r="AC51" s="270">
        <f t="shared" si="30"/>
        <v>0</v>
      </c>
      <c r="AD51" s="270">
        <f t="shared" si="30"/>
        <v>0</v>
      </c>
      <c r="AE51" s="270">
        <f t="shared" si="30"/>
        <v>0</v>
      </c>
      <c r="AF51" s="270">
        <f t="shared" si="30"/>
        <v>8.4</v>
      </c>
      <c r="AG51" s="270">
        <f t="shared" si="30"/>
        <v>0</v>
      </c>
      <c r="AH51" s="270">
        <f t="shared" si="30"/>
        <v>0</v>
      </c>
      <c r="AI51" s="270">
        <f t="shared" si="30"/>
        <v>0</v>
      </c>
      <c r="AJ51" s="270">
        <f>IFERROR(IF(OR(AJ3&gt;0,AND(AJ9=100,OR(WEEKDAY(AJ12,2)&lt;7,AJ1&gt;0))),AJ3+AJ14-AJ26,0),"")</f>
        <v>0</v>
      </c>
      <c r="AK51" s="270">
        <f>IFERROR(IF(OR(AK3&gt;0,AND(AK9=100,OR(WEEKDAY(AK12,2)&lt;7,AK1&gt;0))),AK3+AK14-AK26,0),"")</f>
        <v>0</v>
      </c>
      <c r="AL51" s="270">
        <f>IFERROR(IF(OR(AL3&gt;0,AND(AL9=100,OR(WEEKDAY(AL12,2)&lt;7,AL1&gt;0))),AL3+AL14-AL26,0),"")</f>
        <v>0</v>
      </c>
      <c r="AM51" s="271">
        <f t="shared" si="21"/>
        <v>33.6</v>
      </c>
      <c r="AN51" s="272"/>
      <c r="AO51" s="562"/>
    </row>
    <row r="52" spans="2:41" ht="12.75" hidden="1" customHeight="1" x14ac:dyDescent="0.2">
      <c r="B52" s="256"/>
      <c r="C52" s="257"/>
      <c r="D52" s="250"/>
      <c r="E52" s="250"/>
      <c r="F52" s="564"/>
      <c r="G52" s="269" t="s">
        <v>170</v>
      </c>
      <c r="H52" s="270">
        <f t="shared" ref="H52:AI52" si="31">IF(H4&gt;0,IF(AND(H1&gt;0,H14+H4-H26&lt;=H4),H4,H14+H4-H26),0)</f>
        <v>8.4</v>
      </c>
      <c r="I52" s="270">
        <f t="shared" si="31"/>
        <v>8.4</v>
      </c>
      <c r="J52" s="270">
        <f t="shared" si="31"/>
        <v>8.4</v>
      </c>
      <c r="K52" s="270">
        <f t="shared" si="31"/>
        <v>0</v>
      </c>
      <c r="L52" s="270">
        <f t="shared" si="31"/>
        <v>0</v>
      </c>
      <c r="M52" s="270">
        <f t="shared" si="31"/>
        <v>8.4</v>
      </c>
      <c r="N52" s="270">
        <f t="shared" si="31"/>
        <v>8.4</v>
      </c>
      <c r="O52" s="270">
        <f t="shared" si="31"/>
        <v>8.4</v>
      </c>
      <c r="P52" s="270">
        <f t="shared" si="31"/>
        <v>8.4</v>
      </c>
      <c r="Q52" s="270">
        <f t="shared" si="31"/>
        <v>8.4</v>
      </c>
      <c r="R52" s="270">
        <f t="shared" si="31"/>
        <v>0</v>
      </c>
      <c r="S52" s="270">
        <f t="shared" si="31"/>
        <v>0</v>
      </c>
      <c r="T52" s="270">
        <f t="shared" si="31"/>
        <v>8.4</v>
      </c>
      <c r="U52" s="270">
        <f t="shared" si="31"/>
        <v>8.4</v>
      </c>
      <c r="V52" s="270">
        <f t="shared" si="31"/>
        <v>8.4</v>
      </c>
      <c r="W52" s="270">
        <f t="shared" si="31"/>
        <v>8.4</v>
      </c>
      <c r="X52" s="270">
        <f t="shared" si="31"/>
        <v>8.4</v>
      </c>
      <c r="Y52" s="270">
        <f t="shared" si="31"/>
        <v>0</v>
      </c>
      <c r="Z52" s="270">
        <f t="shared" si="31"/>
        <v>0</v>
      </c>
      <c r="AA52" s="270">
        <f t="shared" si="31"/>
        <v>8.4</v>
      </c>
      <c r="AB52" s="270">
        <f t="shared" si="31"/>
        <v>8.4</v>
      </c>
      <c r="AC52" s="270">
        <f t="shared" si="31"/>
        <v>8.4</v>
      </c>
      <c r="AD52" s="270">
        <f t="shared" si="31"/>
        <v>8.4</v>
      </c>
      <c r="AE52" s="270">
        <f t="shared" si="31"/>
        <v>8.4</v>
      </c>
      <c r="AF52" s="270">
        <f t="shared" si="31"/>
        <v>0</v>
      </c>
      <c r="AG52" s="270">
        <f t="shared" si="31"/>
        <v>0</v>
      </c>
      <c r="AH52" s="270">
        <f t="shared" si="31"/>
        <v>8.4</v>
      </c>
      <c r="AI52" s="270">
        <f t="shared" si="31"/>
        <v>8.4</v>
      </c>
      <c r="AJ52" s="270">
        <f>IFERROR(IF(AJ4&gt;0,IF(AND(AJ1&gt;0,AJ14+AJ4-AJ26&lt;=AJ4),AJ4,AJ14+AJ4-AJ26),0),"")</f>
        <v>8.4</v>
      </c>
      <c r="AK52" s="270">
        <f>IFERROR(IF(AK4&gt;0,IF(AND(AK1&gt;0,AK14+AK4-AK26&lt;=AK4),AK4,AK14+AK4-AK26),0),"")</f>
        <v>8.4</v>
      </c>
      <c r="AL52" s="270">
        <f>IFERROR(IF(AL4&gt;0,IF(AND(AL1&gt;0,AL14+AL4-AL26&lt;=AL4),AL4,AL14+AL4-AL26),0),"")</f>
        <v>8.4</v>
      </c>
      <c r="AM52" s="271">
        <f t="shared" si="21"/>
        <v>193.20000000000007</v>
      </c>
      <c r="AN52" s="272"/>
      <c r="AO52" s="562"/>
    </row>
    <row r="53" spans="2:41" ht="12.75" hidden="1" customHeight="1" x14ac:dyDescent="0.2">
      <c r="B53" s="256"/>
      <c r="C53" s="257"/>
      <c r="D53" s="250"/>
      <c r="E53" s="250"/>
      <c r="F53" s="564"/>
      <c r="G53" s="275" t="s">
        <v>173</v>
      </c>
      <c r="H53" s="270">
        <f>IFERROR(H51+H52,"")</f>
        <v>8.4</v>
      </c>
      <c r="I53" s="270">
        <f t="shared" ref="I53:AL53" si="32">IFERROR(I51+I52,"")</f>
        <v>8.4</v>
      </c>
      <c r="J53" s="270">
        <f t="shared" si="32"/>
        <v>8.4</v>
      </c>
      <c r="K53" s="270">
        <f t="shared" si="32"/>
        <v>8.4</v>
      </c>
      <c r="L53" s="270">
        <f t="shared" si="32"/>
        <v>0</v>
      </c>
      <c r="M53" s="270">
        <f t="shared" si="32"/>
        <v>8.4</v>
      </c>
      <c r="N53" s="270">
        <f t="shared" si="32"/>
        <v>8.4</v>
      </c>
      <c r="O53" s="270">
        <f t="shared" si="32"/>
        <v>8.4</v>
      </c>
      <c r="P53" s="270">
        <f t="shared" si="32"/>
        <v>8.4</v>
      </c>
      <c r="Q53" s="270">
        <f t="shared" si="32"/>
        <v>8.4</v>
      </c>
      <c r="R53" s="270">
        <f t="shared" si="32"/>
        <v>8.4</v>
      </c>
      <c r="S53" s="270">
        <f t="shared" si="32"/>
        <v>0</v>
      </c>
      <c r="T53" s="270">
        <f t="shared" si="32"/>
        <v>8.4</v>
      </c>
      <c r="U53" s="270">
        <f t="shared" si="32"/>
        <v>8.4</v>
      </c>
      <c r="V53" s="270">
        <f t="shared" si="32"/>
        <v>8.4</v>
      </c>
      <c r="W53" s="270">
        <f t="shared" si="32"/>
        <v>8.4</v>
      </c>
      <c r="X53" s="270">
        <f t="shared" si="32"/>
        <v>8.4</v>
      </c>
      <c r="Y53" s="270">
        <f t="shared" si="32"/>
        <v>8.4</v>
      </c>
      <c r="Z53" s="270">
        <f t="shared" si="32"/>
        <v>0</v>
      </c>
      <c r="AA53" s="270">
        <f t="shared" si="32"/>
        <v>8.4</v>
      </c>
      <c r="AB53" s="270">
        <f t="shared" si="32"/>
        <v>8.4</v>
      </c>
      <c r="AC53" s="270">
        <f t="shared" si="32"/>
        <v>8.4</v>
      </c>
      <c r="AD53" s="270">
        <f t="shared" si="32"/>
        <v>8.4</v>
      </c>
      <c r="AE53" s="270">
        <f t="shared" si="32"/>
        <v>8.4</v>
      </c>
      <c r="AF53" s="270">
        <f t="shared" si="32"/>
        <v>8.4</v>
      </c>
      <c r="AG53" s="270">
        <f t="shared" si="32"/>
        <v>0</v>
      </c>
      <c r="AH53" s="270">
        <f t="shared" si="32"/>
        <v>8.4</v>
      </c>
      <c r="AI53" s="270">
        <f t="shared" si="32"/>
        <v>8.4</v>
      </c>
      <c r="AJ53" s="270">
        <f t="shared" si="32"/>
        <v>8.4</v>
      </c>
      <c r="AK53" s="270">
        <f t="shared" si="32"/>
        <v>8.4</v>
      </c>
      <c r="AL53" s="270">
        <f t="shared" si="32"/>
        <v>8.4</v>
      </c>
      <c r="AM53" s="271">
        <f t="shared" si="21"/>
        <v>226.8000000000001</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3">IFERROR(IF(OR((WEEKDAY(I$12,2)=7),I1&gt;0),IF(AND(I26&gt;=I14,I26&gt;0),ROUND((I14-I26)*-1,2),""),""),"")</f>
        <v/>
      </c>
      <c r="J54" s="270" t="str">
        <f t="shared" si="33"/>
        <v/>
      </c>
      <c r="K54" s="270" t="str">
        <f t="shared" si="33"/>
        <v/>
      </c>
      <c r="L54" s="270" t="str">
        <f t="shared" si="33"/>
        <v/>
      </c>
      <c r="M54" s="270" t="str">
        <f t="shared" si="33"/>
        <v/>
      </c>
      <c r="N54" s="270" t="str">
        <f t="shared" si="33"/>
        <v/>
      </c>
      <c r="O54" s="270" t="str">
        <f t="shared" si="33"/>
        <v/>
      </c>
      <c r="P54" s="270" t="str">
        <f t="shared" si="33"/>
        <v/>
      </c>
      <c r="Q54" s="270" t="str">
        <f t="shared" si="33"/>
        <v/>
      </c>
      <c r="R54" s="270" t="str">
        <f t="shared" si="33"/>
        <v/>
      </c>
      <c r="S54" s="270" t="str">
        <f t="shared" si="33"/>
        <v/>
      </c>
      <c r="T54" s="270" t="str">
        <f t="shared" si="33"/>
        <v/>
      </c>
      <c r="U54" s="270" t="str">
        <f t="shared" si="33"/>
        <v/>
      </c>
      <c r="V54" s="270" t="str">
        <f t="shared" si="33"/>
        <v/>
      </c>
      <c r="W54" s="270" t="str">
        <f t="shared" si="33"/>
        <v/>
      </c>
      <c r="X54" s="270" t="str">
        <f t="shared" si="33"/>
        <v/>
      </c>
      <c r="Y54" s="270" t="str">
        <f t="shared" si="33"/>
        <v/>
      </c>
      <c r="Z54" s="270" t="str">
        <f t="shared" si="33"/>
        <v/>
      </c>
      <c r="AA54" s="270" t="str">
        <f t="shared" si="33"/>
        <v/>
      </c>
      <c r="AB54" s="270" t="str">
        <f t="shared" si="33"/>
        <v/>
      </c>
      <c r="AC54" s="270" t="str">
        <f t="shared" si="33"/>
        <v/>
      </c>
      <c r="AD54" s="270" t="str">
        <f t="shared" si="33"/>
        <v/>
      </c>
      <c r="AE54" s="270" t="str">
        <f t="shared" si="33"/>
        <v/>
      </c>
      <c r="AF54" s="270" t="str">
        <f t="shared" si="33"/>
        <v/>
      </c>
      <c r="AG54" s="270" t="str">
        <f t="shared" si="33"/>
        <v/>
      </c>
      <c r="AH54" s="270" t="str">
        <f t="shared" si="33"/>
        <v/>
      </c>
      <c r="AI54" s="270" t="str">
        <f t="shared" si="33"/>
        <v/>
      </c>
      <c r="AJ54" s="270" t="str">
        <f t="shared" si="33"/>
        <v/>
      </c>
      <c r="AK54" s="270" t="str">
        <f t="shared" si="33"/>
        <v/>
      </c>
      <c r="AL54" s="270" t="str">
        <f t="shared" si="33"/>
        <v/>
      </c>
      <c r="AM54" s="271">
        <f t="shared" si="21"/>
        <v>0</v>
      </c>
      <c r="AO54" s="461" t="str">
        <f>_xlfn.TEXTJOIN(" / ",TRUE,H54:AL54)</f>
        <v/>
      </c>
    </row>
    <row r="55" spans="2:41" ht="12.75" hidden="1" customHeight="1" x14ac:dyDescent="0.2">
      <c r="B55" s="256"/>
      <c r="C55" s="257"/>
      <c r="D55" s="250"/>
      <c r="E55" s="250"/>
      <c r="F55" s="565"/>
      <c r="G55" s="277" t="s">
        <v>185</v>
      </c>
      <c r="H55" s="270">
        <f t="shared" ref="H55:AL55" si="34">IF(AND(H14&gt;0,H26=0),(H6*TaginSt)-H4,0)</f>
        <v>6.72</v>
      </c>
      <c r="I55" s="270">
        <f t="shared" si="34"/>
        <v>6.72</v>
      </c>
      <c r="J55" s="270">
        <f t="shared" si="34"/>
        <v>6.72</v>
      </c>
      <c r="K55" s="270">
        <f t="shared" si="34"/>
        <v>0</v>
      </c>
      <c r="L55" s="270">
        <f t="shared" si="34"/>
        <v>0</v>
      </c>
      <c r="M55" s="270">
        <f t="shared" si="34"/>
        <v>6.72</v>
      </c>
      <c r="N55" s="270">
        <f t="shared" si="34"/>
        <v>6.72</v>
      </c>
      <c r="O55" s="270">
        <f t="shared" si="34"/>
        <v>6.72</v>
      </c>
      <c r="P55" s="270">
        <f t="shared" si="34"/>
        <v>6.72</v>
      </c>
      <c r="Q55" s="270">
        <f t="shared" si="34"/>
        <v>6.72</v>
      </c>
      <c r="R55" s="270">
        <f t="shared" si="34"/>
        <v>0</v>
      </c>
      <c r="S55" s="270">
        <f t="shared" si="34"/>
        <v>0</v>
      </c>
      <c r="T55" s="270">
        <f t="shared" si="34"/>
        <v>6.72</v>
      </c>
      <c r="U55" s="270">
        <f t="shared" si="34"/>
        <v>6.72</v>
      </c>
      <c r="V55" s="270">
        <f t="shared" si="34"/>
        <v>6.72</v>
      </c>
      <c r="W55" s="270">
        <f t="shared" si="34"/>
        <v>6.72</v>
      </c>
      <c r="X55" s="270">
        <f t="shared" si="34"/>
        <v>6.72</v>
      </c>
      <c r="Y55" s="270">
        <f t="shared" si="34"/>
        <v>0</v>
      </c>
      <c r="Z55" s="270">
        <f t="shared" si="34"/>
        <v>0</v>
      </c>
      <c r="AA55" s="270">
        <f t="shared" si="34"/>
        <v>6.72</v>
      </c>
      <c r="AB55" s="270">
        <f t="shared" si="34"/>
        <v>6.72</v>
      </c>
      <c r="AC55" s="270">
        <f t="shared" si="34"/>
        <v>6.72</v>
      </c>
      <c r="AD55" s="270">
        <f t="shared" si="34"/>
        <v>6.72</v>
      </c>
      <c r="AE55" s="270">
        <f t="shared" si="34"/>
        <v>6.72</v>
      </c>
      <c r="AF55" s="270">
        <f t="shared" si="34"/>
        <v>0</v>
      </c>
      <c r="AG55" s="270">
        <f t="shared" si="34"/>
        <v>0</v>
      </c>
      <c r="AH55" s="270">
        <f t="shared" si="34"/>
        <v>6.72</v>
      </c>
      <c r="AI55" s="270">
        <f t="shared" si="34"/>
        <v>6.72</v>
      </c>
      <c r="AJ55" s="270">
        <f t="shared" si="34"/>
        <v>6.72</v>
      </c>
      <c r="AK55" s="270">
        <f t="shared" si="34"/>
        <v>6.72</v>
      </c>
      <c r="AL55" s="270">
        <f t="shared" si="34"/>
        <v>6.72</v>
      </c>
      <c r="AM55" s="271">
        <f t="shared" si="21"/>
        <v>154.56</v>
      </c>
      <c r="AN55" s="272"/>
    </row>
    <row r="56" spans="2:41" ht="12.75" hidden="1" customHeight="1" x14ac:dyDescent="0.2">
      <c r="B56" s="256"/>
      <c r="C56" s="257"/>
      <c r="D56" s="250"/>
      <c r="E56" s="250"/>
      <c r="F56" s="583" t="s">
        <v>265</v>
      </c>
      <c r="G56" s="278" t="str">
        <f t="shared" ref="G56:G64" si="35">G30</f>
        <v>Ferien</v>
      </c>
      <c r="H56" s="279" t="str">
        <f>IF(OR(H42="",H42=0),"",ROUND(H42,2)&amp;" F")</f>
        <v/>
      </c>
      <c r="I56" s="279" t="str">
        <f t="shared" ref="I56:AL56" si="36">IF(OR(I42="",I42=0),"",ROUND(I42,2)&amp;" F")</f>
        <v/>
      </c>
      <c r="J56" s="279" t="str">
        <f t="shared" si="36"/>
        <v/>
      </c>
      <c r="K56" s="279" t="str">
        <f t="shared" si="36"/>
        <v/>
      </c>
      <c r="L56" s="279" t="str">
        <f t="shared" si="36"/>
        <v/>
      </c>
      <c r="M56" s="279" t="str">
        <f t="shared" si="36"/>
        <v/>
      </c>
      <c r="N56" s="279" t="str">
        <f t="shared" si="36"/>
        <v/>
      </c>
      <c r="O56" s="279" t="str">
        <f t="shared" si="36"/>
        <v/>
      </c>
      <c r="P56" s="279" t="str">
        <f t="shared" si="36"/>
        <v/>
      </c>
      <c r="Q56" s="279" t="str">
        <f t="shared" si="36"/>
        <v/>
      </c>
      <c r="R56" s="279" t="str">
        <f t="shared" si="36"/>
        <v/>
      </c>
      <c r="S56" s="279" t="str">
        <f t="shared" si="36"/>
        <v/>
      </c>
      <c r="T56" s="279" t="str">
        <f t="shared" si="36"/>
        <v/>
      </c>
      <c r="U56" s="279" t="str">
        <f t="shared" si="36"/>
        <v/>
      </c>
      <c r="V56" s="279" t="str">
        <f t="shared" si="36"/>
        <v/>
      </c>
      <c r="W56" s="279" t="str">
        <f t="shared" si="36"/>
        <v/>
      </c>
      <c r="X56" s="279" t="str">
        <f t="shared" si="36"/>
        <v/>
      </c>
      <c r="Y56" s="279" t="str">
        <f t="shared" si="36"/>
        <v/>
      </c>
      <c r="Z56" s="279" t="str">
        <f t="shared" si="36"/>
        <v/>
      </c>
      <c r="AA56" s="279" t="str">
        <f t="shared" si="36"/>
        <v/>
      </c>
      <c r="AB56" s="279" t="str">
        <f t="shared" si="36"/>
        <v/>
      </c>
      <c r="AC56" s="279" t="str">
        <f t="shared" si="36"/>
        <v/>
      </c>
      <c r="AD56" s="279" t="str">
        <f t="shared" si="36"/>
        <v/>
      </c>
      <c r="AE56" s="279" t="str">
        <f t="shared" si="36"/>
        <v/>
      </c>
      <c r="AF56" s="279" t="str">
        <f t="shared" si="36"/>
        <v/>
      </c>
      <c r="AG56" s="279" t="str">
        <f t="shared" si="36"/>
        <v/>
      </c>
      <c r="AH56" s="279" t="str">
        <f t="shared" si="36"/>
        <v/>
      </c>
      <c r="AI56" s="279" t="str">
        <f t="shared" si="36"/>
        <v/>
      </c>
      <c r="AJ56" s="279" t="str">
        <f t="shared" si="36"/>
        <v/>
      </c>
      <c r="AK56" s="279" t="str">
        <f t="shared" si="36"/>
        <v/>
      </c>
      <c r="AL56" s="279" t="str">
        <f t="shared" si="36"/>
        <v/>
      </c>
      <c r="AM56" s="280" t="str">
        <f>ROUND(AM42,2)&amp;" F"</f>
        <v>0 F</v>
      </c>
      <c r="AN56" s="272"/>
    </row>
    <row r="57" spans="2:41" ht="12.75" hidden="1" customHeight="1" x14ac:dyDescent="0.2">
      <c r="B57" s="256"/>
      <c r="C57" s="257"/>
      <c r="D57" s="250"/>
      <c r="E57" s="250"/>
      <c r="F57" s="584"/>
      <c r="G57" s="278" t="str">
        <f t="shared" si="35"/>
        <v>Krank./Unfall (%)</v>
      </c>
      <c r="H57" s="279" t="str">
        <f>IF(OR(H43="",H43=0),"",ROUND(H43,2)&amp;" K")</f>
        <v/>
      </c>
      <c r="I57" s="279" t="str">
        <f t="shared" ref="I57:AL57" si="37">IF(OR(I43="",I43=0),"",ROUND(I43,2)&amp;" K")</f>
        <v/>
      </c>
      <c r="J57" s="279" t="str">
        <f t="shared" si="37"/>
        <v/>
      </c>
      <c r="K57" s="279" t="str">
        <f t="shared" si="37"/>
        <v/>
      </c>
      <c r="L57" s="279" t="str">
        <f t="shared" si="37"/>
        <v/>
      </c>
      <c r="M57" s="279" t="str">
        <f t="shared" si="37"/>
        <v/>
      </c>
      <c r="N57" s="279" t="str">
        <f t="shared" si="37"/>
        <v/>
      </c>
      <c r="O57" s="279" t="str">
        <f t="shared" si="37"/>
        <v/>
      </c>
      <c r="P57" s="279" t="str">
        <f t="shared" si="37"/>
        <v/>
      </c>
      <c r="Q57" s="279" t="str">
        <f t="shared" si="37"/>
        <v/>
      </c>
      <c r="R57" s="279" t="str">
        <f t="shared" si="37"/>
        <v/>
      </c>
      <c r="S57" s="279" t="str">
        <f t="shared" si="37"/>
        <v/>
      </c>
      <c r="T57" s="279" t="str">
        <f t="shared" si="37"/>
        <v/>
      </c>
      <c r="U57" s="279" t="str">
        <f t="shared" si="37"/>
        <v/>
      </c>
      <c r="V57" s="279" t="str">
        <f t="shared" si="37"/>
        <v/>
      </c>
      <c r="W57" s="279" t="str">
        <f t="shared" si="37"/>
        <v/>
      </c>
      <c r="X57" s="279" t="str">
        <f t="shared" si="37"/>
        <v/>
      </c>
      <c r="Y57" s="279" t="str">
        <f t="shared" si="37"/>
        <v/>
      </c>
      <c r="Z57" s="279" t="str">
        <f t="shared" si="37"/>
        <v/>
      </c>
      <c r="AA57" s="279" t="str">
        <f t="shared" si="37"/>
        <v/>
      </c>
      <c r="AB57" s="279" t="str">
        <f t="shared" si="37"/>
        <v/>
      </c>
      <c r="AC57" s="279" t="str">
        <f t="shared" si="37"/>
        <v/>
      </c>
      <c r="AD57" s="279" t="str">
        <f t="shared" si="37"/>
        <v/>
      </c>
      <c r="AE57" s="279" t="str">
        <f t="shared" si="37"/>
        <v/>
      </c>
      <c r="AF57" s="279" t="str">
        <f t="shared" si="37"/>
        <v/>
      </c>
      <c r="AG57" s="279" t="str">
        <f t="shared" si="37"/>
        <v/>
      </c>
      <c r="AH57" s="279" t="str">
        <f t="shared" si="37"/>
        <v/>
      </c>
      <c r="AI57" s="279" t="str">
        <f t="shared" si="37"/>
        <v/>
      </c>
      <c r="AJ57" s="279" t="str">
        <f t="shared" si="37"/>
        <v/>
      </c>
      <c r="AK57" s="279" t="str">
        <f t="shared" si="37"/>
        <v/>
      </c>
      <c r="AL57" s="279" t="str">
        <f t="shared" si="37"/>
        <v/>
      </c>
      <c r="AM57" s="280" t="str">
        <f>ROUND(AM43,2)&amp;" K"</f>
        <v>0 K</v>
      </c>
      <c r="AN57" s="272"/>
    </row>
    <row r="58" spans="2:41" ht="12.75" hidden="1" customHeight="1" x14ac:dyDescent="0.2">
      <c r="B58" s="256"/>
      <c r="C58" s="257"/>
      <c r="D58" s="250"/>
      <c r="E58" s="250"/>
      <c r="F58" s="584"/>
      <c r="G58" s="278" t="str">
        <f t="shared" si="35"/>
        <v>Kurzurl./öff. Amt</v>
      </c>
      <c r="H58" s="279" t="str">
        <f>IF(OR(H44="",H44=0),"",ROUND(H44,2)&amp;" KU")</f>
        <v/>
      </c>
      <c r="I58" s="279" t="str">
        <f t="shared" ref="I58:AL58" si="38">IF(OR(I44="",I44=0),"",ROUND(I44,2)&amp;" KU")</f>
        <v/>
      </c>
      <c r="J58" s="279" t="str">
        <f t="shared" si="38"/>
        <v/>
      </c>
      <c r="K58" s="279" t="str">
        <f t="shared" si="38"/>
        <v/>
      </c>
      <c r="L58" s="279" t="str">
        <f t="shared" si="38"/>
        <v/>
      </c>
      <c r="M58" s="279" t="str">
        <f t="shared" si="38"/>
        <v/>
      </c>
      <c r="N58" s="279" t="str">
        <f t="shared" si="38"/>
        <v/>
      </c>
      <c r="O58" s="279" t="str">
        <f t="shared" si="38"/>
        <v/>
      </c>
      <c r="P58" s="279" t="str">
        <f t="shared" si="38"/>
        <v/>
      </c>
      <c r="Q58" s="279" t="str">
        <f t="shared" si="38"/>
        <v/>
      </c>
      <c r="R58" s="279" t="str">
        <f t="shared" si="38"/>
        <v/>
      </c>
      <c r="S58" s="279" t="str">
        <f t="shared" si="38"/>
        <v/>
      </c>
      <c r="T58" s="279" t="str">
        <f t="shared" si="38"/>
        <v/>
      </c>
      <c r="U58" s="279" t="str">
        <f t="shared" si="38"/>
        <v/>
      </c>
      <c r="V58" s="279" t="str">
        <f t="shared" si="38"/>
        <v/>
      </c>
      <c r="W58" s="279" t="str">
        <f t="shared" si="38"/>
        <v/>
      </c>
      <c r="X58" s="279" t="str">
        <f t="shared" si="38"/>
        <v/>
      </c>
      <c r="Y58" s="279" t="str">
        <f t="shared" si="38"/>
        <v/>
      </c>
      <c r="Z58" s="279" t="str">
        <f t="shared" si="38"/>
        <v/>
      </c>
      <c r="AA58" s="279" t="str">
        <f t="shared" si="38"/>
        <v/>
      </c>
      <c r="AB58" s="279" t="str">
        <f t="shared" si="38"/>
        <v/>
      </c>
      <c r="AC58" s="279" t="str">
        <f t="shared" si="38"/>
        <v/>
      </c>
      <c r="AD58" s="279" t="str">
        <f t="shared" si="38"/>
        <v/>
      </c>
      <c r="AE58" s="279" t="str">
        <f t="shared" si="38"/>
        <v/>
      </c>
      <c r="AF58" s="279" t="str">
        <f t="shared" si="38"/>
        <v/>
      </c>
      <c r="AG58" s="279" t="str">
        <f t="shared" si="38"/>
        <v/>
      </c>
      <c r="AH58" s="279" t="str">
        <f t="shared" si="38"/>
        <v/>
      </c>
      <c r="AI58" s="279" t="str">
        <f t="shared" si="38"/>
        <v/>
      </c>
      <c r="AJ58" s="279" t="str">
        <f t="shared" si="38"/>
        <v/>
      </c>
      <c r="AK58" s="279" t="str">
        <f t="shared" si="38"/>
        <v/>
      </c>
      <c r="AL58" s="279" t="str">
        <f t="shared" si="38"/>
        <v/>
      </c>
      <c r="AM58" s="280" t="str">
        <f>ROUND(AM44,2)&amp;" KU"</f>
        <v>0 KU</v>
      </c>
      <c r="AN58" s="272"/>
    </row>
    <row r="59" spans="2:41" ht="12.75" hidden="1" customHeight="1" x14ac:dyDescent="0.2">
      <c r="B59" s="256"/>
      <c r="C59" s="257"/>
      <c r="D59" s="250"/>
      <c r="E59" s="250"/>
      <c r="F59" s="584"/>
      <c r="G59" s="278" t="str">
        <f t="shared" si="35"/>
        <v>Militär/CT/ZS/J&amp;S</v>
      </c>
      <c r="H59" s="279" t="str">
        <f>IF(OR(H45="",H45=0),"",ROUND(H45,2)&amp;" MI")</f>
        <v/>
      </c>
      <c r="I59" s="279" t="str">
        <f t="shared" ref="I59:AL59" si="39">IF(OR(I45="",I45=0),"",ROUND(I45,2)&amp;" MI")</f>
        <v/>
      </c>
      <c r="J59" s="279" t="str">
        <f t="shared" si="39"/>
        <v/>
      </c>
      <c r="K59" s="279" t="str">
        <f t="shared" si="39"/>
        <v/>
      </c>
      <c r="L59" s="279" t="str">
        <f t="shared" si="39"/>
        <v/>
      </c>
      <c r="M59" s="279" t="str">
        <f t="shared" si="39"/>
        <v/>
      </c>
      <c r="N59" s="279" t="str">
        <f t="shared" si="39"/>
        <v/>
      </c>
      <c r="O59" s="279" t="str">
        <f t="shared" si="39"/>
        <v/>
      </c>
      <c r="P59" s="279" t="str">
        <f t="shared" si="39"/>
        <v/>
      </c>
      <c r="Q59" s="279" t="str">
        <f t="shared" si="39"/>
        <v/>
      </c>
      <c r="R59" s="279" t="str">
        <f t="shared" si="39"/>
        <v/>
      </c>
      <c r="S59" s="279" t="str">
        <f t="shared" si="39"/>
        <v/>
      </c>
      <c r="T59" s="279" t="str">
        <f t="shared" si="39"/>
        <v/>
      </c>
      <c r="U59" s="279" t="str">
        <f t="shared" si="39"/>
        <v/>
      </c>
      <c r="V59" s="279" t="str">
        <f t="shared" si="39"/>
        <v/>
      </c>
      <c r="W59" s="279" t="str">
        <f t="shared" si="39"/>
        <v/>
      </c>
      <c r="X59" s="279" t="str">
        <f t="shared" si="39"/>
        <v/>
      </c>
      <c r="Y59" s="279" t="str">
        <f t="shared" si="39"/>
        <v/>
      </c>
      <c r="Z59" s="279" t="str">
        <f t="shared" si="39"/>
        <v/>
      </c>
      <c r="AA59" s="279" t="str">
        <f t="shared" si="39"/>
        <v/>
      </c>
      <c r="AB59" s="279" t="str">
        <f t="shared" si="39"/>
        <v/>
      </c>
      <c r="AC59" s="279" t="str">
        <f t="shared" si="39"/>
        <v/>
      </c>
      <c r="AD59" s="279" t="str">
        <f t="shared" si="39"/>
        <v/>
      </c>
      <c r="AE59" s="279" t="str">
        <f t="shared" si="39"/>
        <v/>
      </c>
      <c r="AF59" s="279" t="str">
        <f t="shared" si="39"/>
        <v/>
      </c>
      <c r="AG59" s="279" t="str">
        <f t="shared" si="39"/>
        <v/>
      </c>
      <c r="AH59" s="279" t="str">
        <f t="shared" si="39"/>
        <v/>
      </c>
      <c r="AI59" s="279" t="str">
        <f t="shared" si="39"/>
        <v/>
      </c>
      <c r="AJ59" s="279" t="str">
        <f t="shared" si="39"/>
        <v/>
      </c>
      <c r="AK59" s="279" t="str">
        <f t="shared" si="39"/>
        <v/>
      </c>
      <c r="AL59" s="279" t="str">
        <f t="shared" si="39"/>
        <v/>
      </c>
      <c r="AM59" s="280" t="str">
        <f>ROUND(AM45,2)&amp;" MI"</f>
        <v>0 MI</v>
      </c>
      <c r="AN59" s="272"/>
    </row>
    <row r="60" spans="2:41" ht="12.75" hidden="1" customHeight="1" x14ac:dyDescent="0.2">
      <c r="B60" s="256"/>
      <c r="C60" s="257"/>
      <c r="D60" s="250"/>
      <c r="E60" s="250"/>
      <c r="F60" s="584"/>
      <c r="G60" s="278" t="str">
        <f t="shared" si="35"/>
        <v>Weiterbildung</v>
      </c>
      <c r="H60" s="279" t="str">
        <f>IF(OR(H46="",H46=0),"",ROUND(H46,2)&amp;" WB")</f>
        <v/>
      </c>
      <c r="I60" s="279" t="str">
        <f t="shared" ref="I60:AL60" si="40">IF(OR(I46="",I46=0),"",ROUND(I46,2)&amp;" WB")</f>
        <v/>
      </c>
      <c r="J60" s="279" t="str">
        <f t="shared" si="40"/>
        <v/>
      </c>
      <c r="K60" s="279" t="str">
        <f t="shared" si="40"/>
        <v/>
      </c>
      <c r="L60" s="279" t="str">
        <f t="shared" si="40"/>
        <v/>
      </c>
      <c r="M60" s="279" t="str">
        <f t="shared" si="40"/>
        <v/>
      </c>
      <c r="N60" s="279" t="str">
        <f t="shared" si="40"/>
        <v/>
      </c>
      <c r="O60" s="279" t="str">
        <f t="shared" si="40"/>
        <v/>
      </c>
      <c r="P60" s="279" t="str">
        <f t="shared" si="40"/>
        <v/>
      </c>
      <c r="Q60" s="279" t="str">
        <f t="shared" si="40"/>
        <v/>
      </c>
      <c r="R60" s="279" t="str">
        <f t="shared" si="40"/>
        <v/>
      </c>
      <c r="S60" s="279" t="str">
        <f t="shared" si="40"/>
        <v/>
      </c>
      <c r="T60" s="279" t="str">
        <f t="shared" si="40"/>
        <v/>
      </c>
      <c r="U60" s="279" t="str">
        <f t="shared" si="40"/>
        <v/>
      </c>
      <c r="V60" s="279" t="str">
        <f t="shared" si="40"/>
        <v/>
      </c>
      <c r="W60" s="279" t="str">
        <f t="shared" si="40"/>
        <v/>
      </c>
      <c r="X60" s="279" t="str">
        <f t="shared" si="40"/>
        <v/>
      </c>
      <c r="Y60" s="279" t="str">
        <f t="shared" si="40"/>
        <v/>
      </c>
      <c r="Z60" s="279" t="str">
        <f t="shared" si="40"/>
        <v/>
      </c>
      <c r="AA60" s="279" t="str">
        <f t="shared" si="40"/>
        <v/>
      </c>
      <c r="AB60" s="279" t="str">
        <f t="shared" si="40"/>
        <v/>
      </c>
      <c r="AC60" s="279" t="str">
        <f t="shared" si="40"/>
        <v/>
      </c>
      <c r="AD60" s="279" t="str">
        <f t="shared" si="40"/>
        <v/>
      </c>
      <c r="AE60" s="279" t="str">
        <f t="shared" si="40"/>
        <v/>
      </c>
      <c r="AF60" s="279" t="str">
        <f t="shared" si="40"/>
        <v/>
      </c>
      <c r="AG60" s="279" t="str">
        <f t="shared" si="40"/>
        <v/>
      </c>
      <c r="AH60" s="279" t="str">
        <f t="shared" si="40"/>
        <v/>
      </c>
      <c r="AI60" s="279" t="str">
        <f t="shared" si="40"/>
        <v/>
      </c>
      <c r="AJ60" s="279" t="str">
        <f t="shared" si="40"/>
        <v/>
      </c>
      <c r="AK60" s="279" t="str">
        <f t="shared" si="40"/>
        <v/>
      </c>
      <c r="AL60" s="279" t="str">
        <f t="shared" si="40"/>
        <v/>
      </c>
      <c r="AM60" s="280" t="str">
        <f>ROUND(AM46,2)&amp;" WB"</f>
        <v>0 WB</v>
      </c>
      <c r="AN60" s="272"/>
    </row>
    <row r="61" spans="2:41" ht="12.75" hidden="1" customHeight="1" x14ac:dyDescent="0.2">
      <c r="B61" s="256"/>
      <c r="C61" s="257"/>
      <c r="D61" s="250"/>
      <c r="E61" s="250"/>
      <c r="F61" s="584"/>
      <c r="G61" s="278" t="str">
        <f t="shared" si="35"/>
        <v>Studienurlaub</v>
      </c>
      <c r="H61" s="279" t="str">
        <f>IF(OR(H47="",H47=0),"",ROUND(H47,2)&amp;" WB")</f>
        <v/>
      </c>
      <c r="I61" s="279" t="str">
        <f t="shared" ref="I61:AL61" si="41">IF(OR(I47="",I47=0),"",ROUND(I47,2)&amp;" WB")</f>
        <v/>
      </c>
      <c r="J61" s="279" t="str">
        <f t="shared" si="41"/>
        <v/>
      </c>
      <c r="K61" s="279" t="str">
        <f t="shared" si="41"/>
        <v/>
      </c>
      <c r="L61" s="279" t="str">
        <f t="shared" si="41"/>
        <v/>
      </c>
      <c r="M61" s="279" t="str">
        <f t="shared" si="41"/>
        <v/>
      </c>
      <c r="N61" s="279" t="str">
        <f t="shared" si="41"/>
        <v/>
      </c>
      <c r="O61" s="279" t="str">
        <f t="shared" si="41"/>
        <v/>
      </c>
      <c r="P61" s="279" t="str">
        <f t="shared" si="41"/>
        <v/>
      </c>
      <c r="Q61" s="279" t="str">
        <f t="shared" si="41"/>
        <v/>
      </c>
      <c r="R61" s="279" t="str">
        <f t="shared" si="41"/>
        <v/>
      </c>
      <c r="S61" s="279" t="str">
        <f t="shared" si="41"/>
        <v/>
      </c>
      <c r="T61" s="279" t="str">
        <f t="shared" si="41"/>
        <v/>
      </c>
      <c r="U61" s="279" t="str">
        <f t="shared" si="41"/>
        <v/>
      </c>
      <c r="V61" s="279" t="str">
        <f t="shared" si="41"/>
        <v/>
      </c>
      <c r="W61" s="279" t="str">
        <f t="shared" si="41"/>
        <v/>
      </c>
      <c r="X61" s="279" t="str">
        <f t="shared" si="41"/>
        <v/>
      </c>
      <c r="Y61" s="279" t="str">
        <f t="shared" si="41"/>
        <v/>
      </c>
      <c r="Z61" s="279" t="str">
        <f t="shared" si="41"/>
        <v/>
      </c>
      <c r="AA61" s="279" t="str">
        <f t="shared" si="41"/>
        <v/>
      </c>
      <c r="AB61" s="279" t="str">
        <f t="shared" si="41"/>
        <v/>
      </c>
      <c r="AC61" s="279" t="str">
        <f t="shared" si="41"/>
        <v/>
      </c>
      <c r="AD61" s="279" t="str">
        <f t="shared" si="41"/>
        <v/>
      </c>
      <c r="AE61" s="279" t="str">
        <f t="shared" si="41"/>
        <v/>
      </c>
      <c r="AF61" s="279" t="str">
        <f t="shared" si="41"/>
        <v/>
      </c>
      <c r="AG61" s="279" t="str">
        <f t="shared" si="41"/>
        <v/>
      </c>
      <c r="AH61" s="279" t="str">
        <f t="shared" si="41"/>
        <v/>
      </c>
      <c r="AI61" s="279" t="str">
        <f t="shared" si="41"/>
        <v/>
      </c>
      <c r="AJ61" s="279" t="str">
        <f t="shared" si="41"/>
        <v/>
      </c>
      <c r="AK61" s="279" t="str">
        <f t="shared" si="41"/>
        <v/>
      </c>
      <c r="AL61" s="279" t="str">
        <f t="shared" si="41"/>
        <v/>
      </c>
      <c r="AM61" s="280" t="str">
        <f>ROUND(AM47,2)&amp;" STU"</f>
        <v>0 STU</v>
      </c>
      <c r="AN61" s="272"/>
    </row>
    <row r="62" spans="2:41" ht="12.75" hidden="1" customHeight="1" x14ac:dyDescent="0.2">
      <c r="B62" s="256"/>
      <c r="C62" s="257"/>
      <c r="D62" s="250"/>
      <c r="E62" s="250"/>
      <c r="F62" s="584"/>
      <c r="G62" s="278" t="str">
        <f t="shared" si="35"/>
        <v>Mu-/Vat.</v>
      </c>
      <c r="H62" s="279" t="str">
        <f>IF(OR(H48="",H48=0),"",ROUND(H48,2)&amp;" MU")</f>
        <v/>
      </c>
      <c r="I62" s="279" t="str">
        <f t="shared" ref="I62:AL62" si="42">IF(OR(I48="",I48=0),"",ROUND(I48,2)&amp;" MU")</f>
        <v/>
      </c>
      <c r="J62" s="279" t="str">
        <f t="shared" si="42"/>
        <v/>
      </c>
      <c r="K62" s="279" t="str">
        <f t="shared" si="42"/>
        <v/>
      </c>
      <c r="L62" s="279" t="str">
        <f t="shared" si="42"/>
        <v/>
      </c>
      <c r="M62" s="279" t="str">
        <f t="shared" si="42"/>
        <v/>
      </c>
      <c r="N62" s="279" t="str">
        <f t="shared" si="42"/>
        <v/>
      </c>
      <c r="O62" s="279" t="str">
        <f t="shared" si="42"/>
        <v/>
      </c>
      <c r="P62" s="279" t="str">
        <f t="shared" si="42"/>
        <v/>
      </c>
      <c r="Q62" s="279" t="str">
        <f t="shared" si="42"/>
        <v/>
      </c>
      <c r="R62" s="279" t="str">
        <f t="shared" si="42"/>
        <v/>
      </c>
      <c r="S62" s="279" t="str">
        <f t="shared" si="42"/>
        <v/>
      </c>
      <c r="T62" s="279" t="str">
        <f t="shared" si="42"/>
        <v/>
      </c>
      <c r="U62" s="279" t="str">
        <f t="shared" si="42"/>
        <v/>
      </c>
      <c r="V62" s="279" t="str">
        <f t="shared" si="42"/>
        <v/>
      </c>
      <c r="W62" s="279" t="str">
        <f t="shared" si="42"/>
        <v/>
      </c>
      <c r="X62" s="279" t="str">
        <f t="shared" si="42"/>
        <v/>
      </c>
      <c r="Y62" s="279" t="str">
        <f t="shared" si="42"/>
        <v/>
      </c>
      <c r="Z62" s="279" t="str">
        <f t="shared" si="42"/>
        <v/>
      </c>
      <c r="AA62" s="279" t="str">
        <f t="shared" si="42"/>
        <v/>
      </c>
      <c r="AB62" s="279" t="str">
        <f t="shared" si="42"/>
        <v/>
      </c>
      <c r="AC62" s="279" t="str">
        <f t="shared" si="42"/>
        <v/>
      </c>
      <c r="AD62" s="279" t="str">
        <f t="shared" si="42"/>
        <v/>
      </c>
      <c r="AE62" s="279" t="str">
        <f t="shared" si="42"/>
        <v/>
      </c>
      <c r="AF62" s="279" t="str">
        <f t="shared" si="42"/>
        <v/>
      </c>
      <c r="AG62" s="279" t="str">
        <f t="shared" si="42"/>
        <v/>
      </c>
      <c r="AH62" s="279" t="str">
        <f t="shared" si="42"/>
        <v/>
      </c>
      <c r="AI62" s="279" t="str">
        <f t="shared" si="42"/>
        <v/>
      </c>
      <c r="AJ62" s="279" t="str">
        <f t="shared" si="42"/>
        <v/>
      </c>
      <c r="AK62" s="279" t="str">
        <f t="shared" si="42"/>
        <v/>
      </c>
      <c r="AL62" s="279" t="str">
        <f t="shared" si="42"/>
        <v/>
      </c>
      <c r="AM62" s="280" t="str">
        <f>ROUND(AM48,2)&amp;" MU"</f>
        <v>0 MU</v>
      </c>
      <c r="AN62" s="272"/>
    </row>
    <row r="63" spans="2:41" ht="12.75" hidden="1" customHeight="1" x14ac:dyDescent="0.2">
      <c r="B63" s="256"/>
      <c r="C63" s="257"/>
      <c r="D63" s="250"/>
      <c r="E63" s="250"/>
      <c r="F63" s="584"/>
      <c r="G63" s="278" t="str">
        <f t="shared" si="35"/>
        <v>Treueprämie</v>
      </c>
      <c r="H63" s="279" t="str">
        <f>IF(OR(H49="",H49=0),"",ROUND(H49,2)&amp;" TRP")</f>
        <v/>
      </c>
      <c r="I63" s="279" t="str">
        <f t="shared" ref="I63:AL63" si="43">IF(OR(I49="",I49=0),"",ROUND(I49,2)&amp;" TRP")</f>
        <v/>
      </c>
      <c r="J63" s="279" t="str">
        <f t="shared" si="43"/>
        <v/>
      </c>
      <c r="K63" s="279" t="str">
        <f t="shared" si="43"/>
        <v/>
      </c>
      <c r="L63" s="279" t="str">
        <f t="shared" si="43"/>
        <v/>
      </c>
      <c r="M63" s="279" t="str">
        <f t="shared" si="43"/>
        <v/>
      </c>
      <c r="N63" s="279" t="str">
        <f t="shared" si="43"/>
        <v/>
      </c>
      <c r="O63" s="279" t="str">
        <f t="shared" si="43"/>
        <v/>
      </c>
      <c r="P63" s="279" t="str">
        <f t="shared" si="43"/>
        <v/>
      </c>
      <c r="Q63" s="279" t="str">
        <f t="shared" si="43"/>
        <v/>
      </c>
      <c r="R63" s="279" t="str">
        <f t="shared" si="43"/>
        <v/>
      </c>
      <c r="S63" s="279" t="str">
        <f t="shared" si="43"/>
        <v/>
      </c>
      <c r="T63" s="279" t="str">
        <f t="shared" si="43"/>
        <v/>
      </c>
      <c r="U63" s="279" t="str">
        <f t="shared" si="43"/>
        <v/>
      </c>
      <c r="V63" s="279" t="str">
        <f t="shared" si="43"/>
        <v/>
      </c>
      <c r="W63" s="279" t="str">
        <f t="shared" si="43"/>
        <v/>
      </c>
      <c r="X63" s="279" t="str">
        <f t="shared" si="43"/>
        <v/>
      </c>
      <c r="Y63" s="279" t="str">
        <f t="shared" si="43"/>
        <v/>
      </c>
      <c r="Z63" s="279" t="str">
        <f t="shared" si="43"/>
        <v/>
      </c>
      <c r="AA63" s="279" t="str">
        <f t="shared" si="43"/>
        <v/>
      </c>
      <c r="AB63" s="279" t="str">
        <f t="shared" si="43"/>
        <v/>
      </c>
      <c r="AC63" s="279" t="str">
        <f t="shared" si="43"/>
        <v/>
      </c>
      <c r="AD63" s="279" t="str">
        <f t="shared" si="43"/>
        <v/>
      </c>
      <c r="AE63" s="279" t="str">
        <f t="shared" si="43"/>
        <v/>
      </c>
      <c r="AF63" s="279" t="str">
        <f t="shared" si="43"/>
        <v/>
      </c>
      <c r="AG63" s="279" t="str">
        <f t="shared" si="43"/>
        <v/>
      </c>
      <c r="AH63" s="279" t="str">
        <f t="shared" si="43"/>
        <v/>
      </c>
      <c r="AI63" s="279" t="str">
        <f t="shared" si="43"/>
        <v/>
      </c>
      <c r="AJ63" s="279" t="str">
        <f t="shared" si="43"/>
        <v/>
      </c>
      <c r="AK63" s="279" t="str">
        <f t="shared" si="43"/>
        <v/>
      </c>
      <c r="AL63" s="279" t="str">
        <f t="shared" si="43"/>
        <v/>
      </c>
      <c r="AM63" s="280" t="str">
        <f>ROUND(AM49,2)&amp;" TRP"</f>
        <v>0 TRP</v>
      </c>
      <c r="AN63" s="272"/>
    </row>
    <row r="64" spans="2:41" ht="12.75" hidden="1" customHeight="1" x14ac:dyDescent="0.2">
      <c r="B64" s="256"/>
      <c r="C64" s="257"/>
      <c r="D64" s="250"/>
      <c r="E64" s="250"/>
      <c r="F64" s="584"/>
      <c r="G64" s="278" t="str">
        <f t="shared" si="35"/>
        <v>Langzeitkonto</v>
      </c>
      <c r="H64" s="279" t="str">
        <f>IF(OR(H50="",H50=0),"",ROUND(H50,2)&amp;" LZK")</f>
        <v/>
      </c>
      <c r="I64" s="279" t="str">
        <f t="shared" ref="I64:AL64" si="44">IF(OR(I50="",I50=0),"",ROUND(I50,2)&amp;" LZK")</f>
        <v/>
      </c>
      <c r="J64" s="279" t="str">
        <f t="shared" si="44"/>
        <v/>
      </c>
      <c r="K64" s="279" t="str">
        <f t="shared" si="44"/>
        <v/>
      </c>
      <c r="L64" s="279" t="str">
        <f t="shared" si="44"/>
        <v/>
      </c>
      <c r="M64" s="279" t="str">
        <f t="shared" si="44"/>
        <v/>
      </c>
      <c r="N64" s="279" t="str">
        <f t="shared" si="44"/>
        <v/>
      </c>
      <c r="O64" s="279" t="str">
        <f t="shared" si="44"/>
        <v/>
      </c>
      <c r="P64" s="279" t="str">
        <f t="shared" si="44"/>
        <v/>
      </c>
      <c r="Q64" s="279" t="str">
        <f t="shared" si="44"/>
        <v/>
      </c>
      <c r="R64" s="279" t="str">
        <f t="shared" si="44"/>
        <v/>
      </c>
      <c r="S64" s="279" t="str">
        <f t="shared" si="44"/>
        <v/>
      </c>
      <c r="T64" s="279" t="str">
        <f t="shared" si="44"/>
        <v/>
      </c>
      <c r="U64" s="279" t="str">
        <f t="shared" si="44"/>
        <v/>
      </c>
      <c r="V64" s="279" t="str">
        <f t="shared" si="44"/>
        <v/>
      </c>
      <c r="W64" s="279" t="str">
        <f t="shared" si="44"/>
        <v/>
      </c>
      <c r="X64" s="279" t="str">
        <f t="shared" si="44"/>
        <v/>
      </c>
      <c r="Y64" s="279" t="str">
        <f t="shared" si="44"/>
        <v/>
      </c>
      <c r="Z64" s="279" t="str">
        <f t="shared" si="44"/>
        <v/>
      </c>
      <c r="AA64" s="279" t="str">
        <f t="shared" si="44"/>
        <v/>
      </c>
      <c r="AB64" s="279" t="str">
        <f t="shared" si="44"/>
        <v/>
      </c>
      <c r="AC64" s="279" t="str">
        <f t="shared" si="44"/>
        <v/>
      </c>
      <c r="AD64" s="279" t="str">
        <f t="shared" si="44"/>
        <v/>
      </c>
      <c r="AE64" s="279" t="str">
        <f t="shared" si="44"/>
        <v/>
      </c>
      <c r="AF64" s="279" t="str">
        <f t="shared" si="44"/>
        <v/>
      </c>
      <c r="AG64" s="279" t="str">
        <f t="shared" si="44"/>
        <v/>
      </c>
      <c r="AH64" s="279" t="str">
        <f t="shared" si="44"/>
        <v/>
      </c>
      <c r="AI64" s="279" t="str">
        <f t="shared" si="44"/>
        <v/>
      </c>
      <c r="AJ64" s="279" t="str">
        <f t="shared" si="44"/>
        <v/>
      </c>
      <c r="AK64" s="279" t="str">
        <f t="shared" si="44"/>
        <v/>
      </c>
      <c r="AL64" s="279" t="str">
        <f t="shared" si="44"/>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5">IF(OR(I53="",I53=0),"",ROUND(I53,2)&amp;" TZ/FR")</f>
        <v>8,4 TZ/FR</v>
      </c>
      <c r="J66" s="279" t="str">
        <f t="shared" si="45"/>
        <v>8,4 TZ/FR</v>
      </c>
      <c r="K66" s="279" t="str">
        <f t="shared" si="45"/>
        <v>8,4 TZ/FR</v>
      </c>
      <c r="L66" s="279" t="str">
        <f t="shared" si="45"/>
        <v/>
      </c>
      <c r="M66" s="279" t="str">
        <f t="shared" si="45"/>
        <v>8,4 TZ/FR</v>
      </c>
      <c r="N66" s="279" t="str">
        <f t="shared" si="45"/>
        <v>8,4 TZ/FR</v>
      </c>
      <c r="O66" s="279" t="str">
        <f t="shared" si="45"/>
        <v>8,4 TZ/FR</v>
      </c>
      <c r="P66" s="279" t="str">
        <f t="shared" si="45"/>
        <v>8,4 TZ/FR</v>
      </c>
      <c r="Q66" s="279" t="str">
        <f t="shared" si="45"/>
        <v>8,4 TZ/FR</v>
      </c>
      <c r="R66" s="279" t="str">
        <f t="shared" si="45"/>
        <v>8,4 TZ/FR</v>
      </c>
      <c r="S66" s="279" t="str">
        <f t="shared" si="45"/>
        <v/>
      </c>
      <c r="T66" s="279" t="str">
        <f t="shared" si="45"/>
        <v>8,4 TZ/FR</v>
      </c>
      <c r="U66" s="279" t="str">
        <f t="shared" si="45"/>
        <v>8,4 TZ/FR</v>
      </c>
      <c r="V66" s="279" t="str">
        <f t="shared" si="45"/>
        <v>8,4 TZ/FR</v>
      </c>
      <c r="W66" s="279" t="str">
        <f t="shared" si="45"/>
        <v>8,4 TZ/FR</v>
      </c>
      <c r="X66" s="279" t="str">
        <f t="shared" si="45"/>
        <v>8,4 TZ/FR</v>
      </c>
      <c r="Y66" s="279" t="str">
        <f t="shared" si="45"/>
        <v>8,4 TZ/FR</v>
      </c>
      <c r="Z66" s="279" t="str">
        <f t="shared" si="45"/>
        <v/>
      </c>
      <c r="AA66" s="279" t="str">
        <f t="shared" si="45"/>
        <v>8,4 TZ/FR</v>
      </c>
      <c r="AB66" s="279" t="str">
        <f t="shared" si="45"/>
        <v>8,4 TZ/FR</v>
      </c>
      <c r="AC66" s="279" t="str">
        <f t="shared" si="45"/>
        <v>8,4 TZ/FR</v>
      </c>
      <c r="AD66" s="279" t="str">
        <f t="shared" si="45"/>
        <v>8,4 TZ/FR</v>
      </c>
      <c r="AE66" s="279" t="str">
        <f t="shared" si="45"/>
        <v>8,4 TZ/FR</v>
      </c>
      <c r="AF66" s="279" t="str">
        <f t="shared" si="45"/>
        <v>8,4 TZ/FR</v>
      </c>
      <c r="AG66" s="279" t="str">
        <f t="shared" si="45"/>
        <v/>
      </c>
      <c r="AH66" s="279" t="str">
        <f t="shared" si="45"/>
        <v>8,4 TZ/FR</v>
      </c>
      <c r="AI66" s="279" t="str">
        <f t="shared" si="45"/>
        <v>8,4 TZ/FR</v>
      </c>
      <c r="AJ66" s="279" t="str">
        <f t="shared" si="45"/>
        <v>8,4 TZ/FR</v>
      </c>
      <c r="AK66" s="279" t="str">
        <f t="shared" si="45"/>
        <v>8,4 TZ/FR</v>
      </c>
      <c r="AL66" s="279" t="str">
        <f t="shared" si="45"/>
        <v>8,4 TZ/FR</v>
      </c>
      <c r="AM66" s="280" t="str">
        <f>ROUND(AM52,2)&amp;" TZ/FR"</f>
        <v>193,2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6">IF(OR(I54="",I54=0),"",ROUND(I54,2)&amp;" KOMP")</f>
        <v/>
      </c>
      <c r="J67" s="279" t="str">
        <f t="shared" si="46"/>
        <v/>
      </c>
      <c r="K67" s="279" t="str">
        <f t="shared" si="46"/>
        <v/>
      </c>
      <c r="L67" s="279" t="str">
        <f t="shared" si="46"/>
        <v/>
      </c>
      <c r="M67" s="279" t="str">
        <f t="shared" si="46"/>
        <v/>
      </c>
      <c r="N67" s="279" t="str">
        <f t="shared" si="46"/>
        <v/>
      </c>
      <c r="O67" s="279" t="str">
        <f t="shared" si="46"/>
        <v/>
      </c>
      <c r="P67" s="279" t="str">
        <f t="shared" si="46"/>
        <v/>
      </c>
      <c r="Q67" s="279" t="str">
        <f t="shared" si="46"/>
        <v/>
      </c>
      <c r="R67" s="279" t="str">
        <f t="shared" si="46"/>
        <v/>
      </c>
      <c r="S67" s="279" t="str">
        <f t="shared" si="46"/>
        <v/>
      </c>
      <c r="T67" s="279" t="str">
        <f t="shared" si="46"/>
        <v/>
      </c>
      <c r="U67" s="279" t="str">
        <f t="shared" si="46"/>
        <v/>
      </c>
      <c r="V67" s="279" t="str">
        <f t="shared" si="46"/>
        <v/>
      </c>
      <c r="W67" s="279" t="str">
        <f t="shared" si="46"/>
        <v/>
      </c>
      <c r="X67" s="279" t="str">
        <f t="shared" si="46"/>
        <v/>
      </c>
      <c r="Y67" s="279" t="str">
        <f t="shared" si="46"/>
        <v/>
      </c>
      <c r="Z67" s="279" t="str">
        <f t="shared" si="46"/>
        <v/>
      </c>
      <c r="AA67" s="279" t="str">
        <f t="shared" si="46"/>
        <v/>
      </c>
      <c r="AB67" s="279" t="str">
        <f t="shared" si="46"/>
        <v/>
      </c>
      <c r="AC67" s="279" t="str">
        <f t="shared" si="46"/>
        <v/>
      </c>
      <c r="AD67" s="279" t="str">
        <f t="shared" si="46"/>
        <v/>
      </c>
      <c r="AE67" s="279" t="str">
        <f t="shared" si="46"/>
        <v/>
      </c>
      <c r="AF67" s="279" t="str">
        <f t="shared" si="46"/>
        <v/>
      </c>
      <c r="AG67" s="279" t="str">
        <f t="shared" si="46"/>
        <v/>
      </c>
      <c r="AH67" s="279" t="str">
        <f t="shared" si="46"/>
        <v/>
      </c>
      <c r="AI67" s="279" t="str">
        <f t="shared" si="46"/>
        <v/>
      </c>
      <c r="AJ67" s="279" t="str">
        <f t="shared" si="46"/>
        <v/>
      </c>
      <c r="AK67" s="279" t="str">
        <f t="shared" si="46"/>
        <v/>
      </c>
      <c r="AL67" s="279" t="str">
        <f t="shared" si="46"/>
        <v/>
      </c>
      <c r="AM67" s="280"/>
      <c r="AN67" s="272"/>
    </row>
    <row r="68" spans="2:40" ht="12.75" hidden="1" customHeight="1" x14ac:dyDescent="0.2">
      <c r="B68" s="256"/>
      <c r="C68" s="257"/>
      <c r="D68" s="250"/>
      <c r="E68" s="250"/>
      <c r="F68" s="584"/>
      <c r="G68" s="278" t="str">
        <f>G55</f>
        <v>Nicht gearbeitet</v>
      </c>
      <c r="H68" s="279" t="str">
        <f>IF(OR(H55="",H55=0),"","FREI")</f>
        <v>FREI</v>
      </c>
      <c r="I68" s="279" t="str">
        <f t="shared" ref="I68:AL68" si="47">IF(OR(I55="",I55=0),"","FREI")</f>
        <v>FREI</v>
      </c>
      <c r="J68" s="279" t="str">
        <f t="shared" si="47"/>
        <v>FREI</v>
      </c>
      <c r="K68" s="279" t="str">
        <f t="shared" si="47"/>
        <v/>
      </c>
      <c r="L68" s="279" t="str">
        <f t="shared" si="47"/>
        <v/>
      </c>
      <c r="M68" s="279" t="str">
        <f t="shared" si="47"/>
        <v>FREI</v>
      </c>
      <c r="N68" s="279" t="str">
        <f t="shared" si="47"/>
        <v>FREI</v>
      </c>
      <c r="O68" s="279" t="str">
        <f t="shared" si="47"/>
        <v>FREI</v>
      </c>
      <c r="P68" s="279" t="str">
        <f t="shared" si="47"/>
        <v>FREI</v>
      </c>
      <c r="Q68" s="279" t="str">
        <f t="shared" si="47"/>
        <v>FREI</v>
      </c>
      <c r="R68" s="279" t="str">
        <f t="shared" si="47"/>
        <v/>
      </c>
      <c r="S68" s="279" t="str">
        <f t="shared" si="47"/>
        <v/>
      </c>
      <c r="T68" s="279" t="str">
        <f t="shared" si="47"/>
        <v>FREI</v>
      </c>
      <c r="U68" s="279" t="str">
        <f t="shared" si="47"/>
        <v>FREI</v>
      </c>
      <c r="V68" s="279" t="str">
        <f t="shared" si="47"/>
        <v>FREI</v>
      </c>
      <c r="W68" s="279" t="str">
        <f t="shared" si="47"/>
        <v>FREI</v>
      </c>
      <c r="X68" s="279" t="str">
        <f t="shared" si="47"/>
        <v>FREI</v>
      </c>
      <c r="Y68" s="279" t="str">
        <f t="shared" si="47"/>
        <v/>
      </c>
      <c r="Z68" s="279" t="str">
        <f t="shared" si="47"/>
        <v/>
      </c>
      <c r="AA68" s="279" t="str">
        <f t="shared" si="47"/>
        <v>FREI</v>
      </c>
      <c r="AB68" s="279" t="str">
        <f t="shared" si="47"/>
        <v>FREI</v>
      </c>
      <c r="AC68" s="279" t="str">
        <f t="shared" si="47"/>
        <v>FREI</v>
      </c>
      <c r="AD68" s="279" t="str">
        <f t="shared" si="47"/>
        <v>FREI</v>
      </c>
      <c r="AE68" s="279" t="str">
        <f t="shared" si="47"/>
        <v>FREI</v>
      </c>
      <c r="AF68" s="279" t="str">
        <f t="shared" si="47"/>
        <v/>
      </c>
      <c r="AG68" s="279" t="str">
        <f t="shared" si="47"/>
        <v/>
      </c>
      <c r="AH68" s="279" t="str">
        <f t="shared" si="47"/>
        <v>FREI</v>
      </c>
      <c r="AI68" s="279" t="str">
        <f t="shared" si="47"/>
        <v>FREI</v>
      </c>
      <c r="AJ68" s="279" t="str">
        <f t="shared" si="47"/>
        <v>FREI</v>
      </c>
      <c r="AK68" s="279" t="str">
        <f t="shared" si="47"/>
        <v>FREI</v>
      </c>
      <c r="AL68" s="279" t="str">
        <f t="shared" si="47"/>
        <v>FREI</v>
      </c>
      <c r="AM68" s="280"/>
      <c r="AN68" s="272"/>
    </row>
    <row r="69" spans="2:40" ht="12.75" hidden="1" customHeight="1" x14ac:dyDescent="0.2">
      <c r="B69" s="256"/>
      <c r="C69" s="257"/>
      <c r="D69" s="250"/>
      <c r="E69" s="250"/>
      <c r="F69" s="281"/>
      <c r="G69" s="282" t="s">
        <v>132</v>
      </c>
      <c r="H69" s="283" t="str">
        <f t="shared" ref="H69:AL69" si="48">_xlfn.TEXTJOIN(";",TRUE,H56,H57,H58,H59,H60,H61,H62,H63,H64,H68)</f>
        <v>FREI</v>
      </c>
      <c r="I69" s="283" t="str">
        <f t="shared" si="48"/>
        <v>FREI</v>
      </c>
      <c r="J69" s="283" t="str">
        <f t="shared" si="48"/>
        <v>FREI</v>
      </c>
      <c r="K69" s="283" t="str">
        <f t="shared" si="48"/>
        <v/>
      </c>
      <c r="L69" s="283" t="str">
        <f>_xlfn.TEXTJOIN(";",TRUE,L56,L57,L58,L59,L60,L61,L62,L63,L64,L68)</f>
        <v/>
      </c>
      <c r="M69" s="283" t="str">
        <f t="shared" si="48"/>
        <v>FREI</v>
      </c>
      <c r="N69" s="283" t="str">
        <f t="shared" si="48"/>
        <v>FREI</v>
      </c>
      <c r="O69" s="283" t="str">
        <f t="shared" si="48"/>
        <v>FREI</v>
      </c>
      <c r="P69" s="283" t="str">
        <f t="shared" si="48"/>
        <v>FREI</v>
      </c>
      <c r="Q69" s="283" t="str">
        <f t="shared" si="48"/>
        <v>FREI</v>
      </c>
      <c r="R69" s="283" t="str">
        <f t="shared" si="48"/>
        <v/>
      </c>
      <c r="S69" s="283" t="str">
        <f t="shared" si="48"/>
        <v/>
      </c>
      <c r="T69" s="283" t="str">
        <f t="shared" si="48"/>
        <v>FREI</v>
      </c>
      <c r="U69" s="283" t="str">
        <f t="shared" si="48"/>
        <v>FREI</v>
      </c>
      <c r="V69" s="283" t="str">
        <f t="shared" si="48"/>
        <v>FREI</v>
      </c>
      <c r="W69" s="283" t="str">
        <f t="shared" si="48"/>
        <v>FREI</v>
      </c>
      <c r="X69" s="283" t="str">
        <f t="shared" si="48"/>
        <v>FREI</v>
      </c>
      <c r="Y69" s="283" t="str">
        <f t="shared" si="48"/>
        <v/>
      </c>
      <c r="Z69" s="283" t="str">
        <f t="shared" si="48"/>
        <v/>
      </c>
      <c r="AA69" s="283" t="str">
        <f t="shared" si="48"/>
        <v>FREI</v>
      </c>
      <c r="AB69" s="283" t="str">
        <f t="shared" si="48"/>
        <v>FREI</v>
      </c>
      <c r="AC69" s="283" t="str">
        <f t="shared" si="48"/>
        <v>FREI</v>
      </c>
      <c r="AD69" s="283" t="str">
        <f t="shared" si="48"/>
        <v>FREI</v>
      </c>
      <c r="AE69" s="283" t="str">
        <f t="shared" si="48"/>
        <v>FREI</v>
      </c>
      <c r="AF69" s="283" t="str">
        <f t="shared" si="48"/>
        <v/>
      </c>
      <c r="AG69" s="283" t="str">
        <f t="shared" si="48"/>
        <v/>
      </c>
      <c r="AH69" s="283" t="str">
        <f t="shared" si="48"/>
        <v>FREI</v>
      </c>
      <c r="AI69" s="283" t="str">
        <f t="shared" si="48"/>
        <v>FREI</v>
      </c>
      <c r="AJ69" s="283" t="str">
        <f t="shared" si="48"/>
        <v>FREI</v>
      </c>
      <c r="AK69" s="283" t="str">
        <f t="shared" si="48"/>
        <v>FREI</v>
      </c>
      <c r="AL69" s="283" t="str">
        <f t="shared" si="48"/>
        <v>FREI</v>
      </c>
      <c r="AM69" s="280"/>
      <c r="AN69" s="272"/>
    </row>
    <row r="70" spans="2:40" ht="12.75" hidden="1" customHeight="1" x14ac:dyDescent="0.2">
      <c r="B70" s="256"/>
      <c r="C70" s="257"/>
      <c r="D70" s="250"/>
      <c r="E70" s="250"/>
      <c r="F70" s="281"/>
      <c r="G70" s="278" t="s">
        <v>158</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cm="1">
        <f t="array" ref="K70">IF(ISERROR(_xlfn.TEXTSPLIT(K69,,";",TRUE)),0,_xlfn.TEXTSPLIT(K69,,";",TRUE))</f>
        <v>0</v>
      </c>
      <c r="L70" s="284" cm="1">
        <f t="array" ref="L70">IF(ISERROR(_xlfn.TEXTSPLIT(L69,,";",TRUE)),0,_xlfn.TEXTSPLIT(L69,,";",TRUE))</f>
        <v>0</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cm="1">
        <f t="array" ref="R70">IF(ISERROR(_xlfn.TEXTSPLIT(R69,,";",TRUE)),0,_xlfn.TEXTSPLIT(R69,,";",TRUE))</f>
        <v>0</v>
      </c>
      <c r="S70" s="284" cm="1">
        <f t="array" ref="S70">IF(ISERROR(_xlfn.TEXTSPLIT(S69,,";",TRUE)),0,_xlfn.TEXTSPLIT(S69,,";",TRUE))</f>
        <v>0</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cm="1">
        <f t="array" ref="Y70">IF(ISERROR(_xlfn.TEXTSPLIT(Y69,,";",TRUE)),0,_xlfn.TEXTSPLIT(Y69,,";",TRUE))</f>
        <v>0</v>
      </c>
      <c r="Z70" s="284" cm="1">
        <f t="array" ref="Z70">IF(ISERROR(_xlfn.TEXTSPLIT(Z69,,";",TRUE)),0,_xlfn.TEXTSPLIT(Z69,,";",TRUE))</f>
        <v>0</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cm="1">
        <f t="array" ref="AF70">IF(ISERROR(_xlfn.TEXTSPLIT(AF69,,";",TRUE)),0,_xlfn.TEXTSPLIT(AF69,,";",TRUE))</f>
        <v>0</v>
      </c>
      <c r="AG70" s="284" cm="1">
        <f t="array" ref="AG70">IF(ISERROR(_xlfn.TEXTSPLIT(AG69,,";",TRUE)),0,_xlfn.TEXTSPLIT(AG69,,";",TRUE))</f>
        <v>0</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t="str" cm="1">
        <f t="array" ref="AL70">IF(ISERROR(_xlfn.TEXTSPLIT(AL69,,";",TRUE)),0,_xlfn.TEXTSPLIT(AL69,,";",TRUE))</f>
        <v>FREI</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9">IF(OR(I54="",I54=0),"","!")</f>
        <v/>
      </c>
      <c r="J72" s="284" t="str">
        <f t="shared" si="49"/>
        <v/>
      </c>
      <c r="K72" s="284" t="str">
        <f t="shared" si="49"/>
        <v/>
      </c>
      <c r="L72" s="284" t="str">
        <f t="shared" si="49"/>
        <v/>
      </c>
      <c r="M72" s="284" t="str">
        <f t="shared" si="49"/>
        <v/>
      </c>
      <c r="N72" s="284" t="str">
        <f t="shared" si="49"/>
        <v/>
      </c>
      <c r="O72" s="284" t="str">
        <f t="shared" si="49"/>
        <v/>
      </c>
      <c r="P72" s="284" t="str">
        <f t="shared" si="49"/>
        <v/>
      </c>
      <c r="Q72" s="284" t="str">
        <f t="shared" si="49"/>
        <v/>
      </c>
      <c r="R72" s="284" t="str">
        <f t="shared" si="49"/>
        <v/>
      </c>
      <c r="S72" s="284" t="str">
        <f t="shared" si="49"/>
        <v/>
      </c>
      <c r="T72" s="284" t="str">
        <f t="shared" si="49"/>
        <v/>
      </c>
      <c r="U72" s="284" t="str">
        <f t="shared" si="49"/>
        <v/>
      </c>
      <c r="V72" s="284" t="str">
        <f t="shared" si="49"/>
        <v/>
      </c>
      <c r="W72" s="284" t="str">
        <f t="shared" si="49"/>
        <v/>
      </c>
      <c r="X72" s="284" t="str">
        <f t="shared" si="49"/>
        <v/>
      </c>
      <c r="Y72" s="284" t="str">
        <f t="shared" si="49"/>
        <v/>
      </c>
      <c r="Z72" s="284" t="str">
        <f t="shared" si="49"/>
        <v/>
      </c>
      <c r="AA72" s="284" t="str">
        <f t="shared" si="49"/>
        <v/>
      </c>
      <c r="AB72" s="284" t="str">
        <f t="shared" si="49"/>
        <v/>
      </c>
      <c r="AC72" s="284" t="str">
        <f t="shared" si="49"/>
        <v/>
      </c>
      <c r="AD72" s="284" t="str">
        <f t="shared" si="49"/>
        <v/>
      </c>
      <c r="AE72" s="284" t="str">
        <f t="shared" si="49"/>
        <v/>
      </c>
      <c r="AF72" s="284" t="str">
        <f t="shared" si="49"/>
        <v/>
      </c>
      <c r="AG72" s="284" t="str">
        <f t="shared" si="49"/>
        <v/>
      </c>
      <c r="AH72" s="284" t="str">
        <f t="shared" si="49"/>
        <v/>
      </c>
      <c r="AI72" s="284" t="str">
        <f t="shared" si="49"/>
        <v/>
      </c>
      <c r="AJ72" s="284" t="str">
        <f t="shared" si="49"/>
        <v/>
      </c>
      <c r="AK72" s="284" t="str">
        <f t="shared" si="49"/>
        <v/>
      </c>
      <c r="AL72" s="284" t="str">
        <f t="shared" si="49"/>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-1270.080000000004</v>
      </c>
      <c r="I74" s="289">
        <f t="shared" ref="I74:AL74" si="50">H74+I26-I14</f>
        <v>-1276.800000000004</v>
      </c>
      <c r="J74" s="289">
        <f t="shared" si="50"/>
        <v>-1283.5200000000041</v>
      </c>
      <c r="K74" s="289">
        <f t="shared" si="50"/>
        <v>-1283.5200000000041</v>
      </c>
      <c r="L74" s="289">
        <f t="shared" si="50"/>
        <v>-1283.5200000000041</v>
      </c>
      <c r="M74" s="289">
        <f t="shared" si="50"/>
        <v>-1290.2400000000041</v>
      </c>
      <c r="N74" s="289">
        <f t="shared" si="50"/>
        <v>-1296.9600000000041</v>
      </c>
      <c r="O74" s="289">
        <f t="shared" si="50"/>
        <v>-1303.6800000000042</v>
      </c>
      <c r="P74" s="289">
        <f t="shared" si="50"/>
        <v>-1310.4000000000042</v>
      </c>
      <c r="Q74" s="289">
        <f t="shared" si="50"/>
        <v>-1317.1200000000042</v>
      </c>
      <c r="R74" s="289">
        <f t="shared" si="50"/>
        <v>-1317.1200000000042</v>
      </c>
      <c r="S74" s="289">
        <f t="shared" si="50"/>
        <v>-1317.1200000000042</v>
      </c>
      <c r="T74" s="289">
        <f t="shared" si="50"/>
        <v>-1323.8400000000042</v>
      </c>
      <c r="U74" s="289">
        <f t="shared" si="50"/>
        <v>-1330.5600000000043</v>
      </c>
      <c r="V74" s="289">
        <f t="shared" si="50"/>
        <v>-1337.2800000000043</v>
      </c>
      <c r="W74" s="289">
        <f t="shared" si="50"/>
        <v>-1344.0000000000043</v>
      </c>
      <c r="X74" s="289">
        <f t="shared" si="50"/>
        <v>-1350.7200000000043</v>
      </c>
      <c r="Y74" s="289">
        <f t="shared" si="50"/>
        <v>-1350.7200000000043</v>
      </c>
      <c r="Z74" s="289">
        <f t="shared" si="50"/>
        <v>-1350.7200000000043</v>
      </c>
      <c r="AA74" s="289">
        <f t="shared" si="50"/>
        <v>-1357.4400000000044</v>
      </c>
      <c r="AB74" s="289">
        <f t="shared" si="50"/>
        <v>-1364.1600000000044</v>
      </c>
      <c r="AC74" s="289">
        <f t="shared" si="50"/>
        <v>-1370.8800000000044</v>
      </c>
      <c r="AD74" s="289">
        <f t="shared" si="50"/>
        <v>-1377.6000000000045</v>
      </c>
      <c r="AE74" s="289">
        <f t="shared" si="50"/>
        <v>-1384.3200000000045</v>
      </c>
      <c r="AF74" s="289">
        <f t="shared" si="50"/>
        <v>-1384.3200000000045</v>
      </c>
      <c r="AG74" s="289">
        <f t="shared" si="50"/>
        <v>-1384.3200000000045</v>
      </c>
      <c r="AH74" s="289">
        <f t="shared" si="50"/>
        <v>-1391.0400000000045</v>
      </c>
      <c r="AI74" s="289">
        <f t="shared" si="50"/>
        <v>-1397.7600000000045</v>
      </c>
      <c r="AJ74" s="289">
        <f t="shared" si="50"/>
        <v>-1404.4800000000046</v>
      </c>
      <c r="AK74" s="289">
        <f t="shared" si="50"/>
        <v>-1411.2000000000046</v>
      </c>
      <c r="AL74" s="289">
        <f t="shared" si="50"/>
        <v>-1417.9200000000046</v>
      </c>
      <c r="AM74" s="290">
        <f>AL74</f>
        <v>-1417.9200000000046</v>
      </c>
    </row>
    <row r="75" spans="2:40" ht="12.75" customHeight="1" x14ac:dyDescent="0.2">
      <c r="B75" s="250"/>
      <c r="C75" s="11"/>
      <c r="D75" s="250"/>
      <c r="E75" s="250"/>
      <c r="F75" s="574"/>
      <c r="G75" s="203" t="s">
        <v>71</v>
      </c>
      <c r="H75" s="291">
        <f>H74/TaginSt</f>
        <v>-151.20000000000047</v>
      </c>
      <c r="I75" s="247">
        <f t="shared" ref="I75:AL75" si="51">I74/TaginSt</f>
        <v>-152.00000000000048</v>
      </c>
      <c r="J75" s="247">
        <f t="shared" si="51"/>
        <v>-152.80000000000047</v>
      </c>
      <c r="K75" s="247">
        <f t="shared" si="51"/>
        <v>-152.80000000000047</v>
      </c>
      <c r="L75" s="247">
        <f t="shared" si="51"/>
        <v>-152.80000000000047</v>
      </c>
      <c r="M75" s="247">
        <f t="shared" si="51"/>
        <v>-153.60000000000048</v>
      </c>
      <c r="N75" s="247">
        <f t="shared" si="51"/>
        <v>-154.40000000000049</v>
      </c>
      <c r="O75" s="247">
        <f t="shared" si="51"/>
        <v>-155.2000000000005</v>
      </c>
      <c r="P75" s="247">
        <f t="shared" si="51"/>
        <v>-156.00000000000048</v>
      </c>
      <c r="Q75" s="247">
        <f t="shared" si="51"/>
        <v>-156.80000000000049</v>
      </c>
      <c r="R75" s="247">
        <f t="shared" si="51"/>
        <v>-156.80000000000049</v>
      </c>
      <c r="S75" s="247">
        <f t="shared" si="51"/>
        <v>-156.80000000000049</v>
      </c>
      <c r="T75" s="247">
        <f t="shared" si="51"/>
        <v>-157.60000000000051</v>
      </c>
      <c r="U75" s="247">
        <f t="shared" si="51"/>
        <v>-158.40000000000049</v>
      </c>
      <c r="V75" s="247">
        <f t="shared" si="51"/>
        <v>-159.2000000000005</v>
      </c>
      <c r="W75" s="247">
        <f t="shared" si="51"/>
        <v>-160.00000000000051</v>
      </c>
      <c r="X75" s="247">
        <f t="shared" si="51"/>
        <v>-160.80000000000052</v>
      </c>
      <c r="Y75" s="247">
        <f t="shared" si="51"/>
        <v>-160.80000000000052</v>
      </c>
      <c r="Z75" s="247">
        <f t="shared" si="51"/>
        <v>-160.80000000000052</v>
      </c>
      <c r="AA75" s="247">
        <f t="shared" si="51"/>
        <v>-161.60000000000051</v>
      </c>
      <c r="AB75" s="247">
        <f t="shared" si="51"/>
        <v>-162.40000000000052</v>
      </c>
      <c r="AC75" s="247">
        <f t="shared" si="51"/>
        <v>-163.20000000000053</v>
      </c>
      <c r="AD75" s="247">
        <f t="shared" si="51"/>
        <v>-164.00000000000051</v>
      </c>
      <c r="AE75" s="247">
        <f t="shared" si="51"/>
        <v>-164.80000000000052</v>
      </c>
      <c r="AF75" s="247">
        <f t="shared" si="51"/>
        <v>-164.80000000000052</v>
      </c>
      <c r="AG75" s="247">
        <f t="shared" si="51"/>
        <v>-164.80000000000052</v>
      </c>
      <c r="AH75" s="247">
        <f t="shared" si="51"/>
        <v>-165.60000000000053</v>
      </c>
      <c r="AI75" s="247">
        <f t="shared" si="51"/>
        <v>-166.40000000000055</v>
      </c>
      <c r="AJ75" s="247">
        <f t="shared" si="51"/>
        <v>-167.20000000000053</v>
      </c>
      <c r="AK75" s="247">
        <f t="shared" si="51"/>
        <v>-168.00000000000054</v>
      </c>
      <c r="AL75" s="247">
        <f t="shared" si="51"/>
        <v>-168.80000000000055</v>
      </c>
      <c r="AM75" s="292">
        <f>AL75</f>
        <v>-168.80000000000055</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2">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2"/>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2"/>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2"/>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2"/>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2"/>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2"/>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2"/>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2"/>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2"/>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2"/>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2"/>
        <v>0</v>
      </c>
    </row>
    <row r="91" spans="2:39" ht="12.75" customHeight="1" x14ac:dyDescent="0.2">
      <c r="B91" s="470"/>
      <c r="C91" s="166"/>
      <c r="D91" s="581"/>
      <c r="E91" s="582"/>
      <c r="F91" s="560" t="str">
        <f>Arbeitsber.!B17</f>
        <v>Sonstiges</v>
      </c>
      <c r="G91" s="561"/>
      <c r="H91" s="301">
        <f t="shared" ref="H91:AL91" si="53">SUM(((H18-H17)*24)+((H20-H19)*24)+((H22-H21)*24)+H23+(H24*TaginSt))-SUM(H79:H90)</f>
        <v>0</v>
      </c>
      <c r="I91" s="301">
        <f t="shared" si="53"/>
        <v>0</v>
      </c>
      <c r="J91" s="301">
        <f t="shared" si="53"/>
        <v>0</v>
      </c>
      <c r="K91" s="301">
        <f t="shared" si="53"/>
        <v>0</v>
      </c>
      <c r="L91" s="301">
        <f t="shared" si="53"/>
        <v>0</v>
      </c>
      <c r="M91" s="301">
        <f t="shared" si="53"/>
        <v>0</v>
      </c>
      <c r="N91" s="301">
        <f t="shared" si="53"/>
        <v>0</v>
      </c>
      <c r="O91" s="301">
        <f t="shared" si="53"/>
        <v>0</v>
      </c>
      <c r="P91" s="301">
        <f t="shared" si="53"/>
        <v>0</v>
      </c>
      <c r="Q91" s="301">
        <f t="shared" si="53"/>
        <v>0</v>
      </c>
      <c r="R91" s="301">
        <f t="shared" si="53"/>
        <v>0</v>
      </c>
      <c r="S91" s="301">
        <f t="shared" si="53"/>
        <v>0</v>
      </c>
      <c r="T91" s="301">
        <f t="shared" si="53"/>
        <v>0</v>
      </c>
      <c r="U91" s="301">
        <f t="shared" si="53"/>
        <v>0</v>
      </c>
      <c r="V91" s="301">
        <f t="shared" si="53"/>
        <v>0</v>
      </c>
      <c r="W91" s="301">
        <f t="shared" si="53"/>
        <v>0</v>
      </c>
      <c r="X91" s="301">
        <f t="shared" si="53"/>
        <v>0</v>
      </c>
      <c r="Y91" s="301">
        <f t="shared" si="53"/>
        <v>0</v>
      </c>
      <c r="Z91" s="301">
        <f t="shared" si="53"/>
        <v>0</v>
      </c>
      <c r="AA91" s="301">
        <f t="shared" si="53"/>
        <v>0</v>
      </c>
      <c r="AB91" s="301">
        <f t="shared" si="53"/>
        <v>0</v>
      </c>
      <c r="AC91" s="301">
        <f t="shared" si="53"/>
        <v>0</v>
      </c>
      <c r="AD91" s="301">
        <f t="shared" si="53"/>
        <v>0</v>
      </c>
      <c r="AE91" s="301">
        <f t="shared" si="53"/>
        <v>0</v>
      </c>
      <c r="AF91" s="301">
        <f t="shared" si="53"/>
        <v>0</v>
      </c>
      <c r="AG91" s="301">
        <f t="shared" si="53"/>
        <v>0</v>
      </c>
      <c r="AH91" s="301">
        <f t="shared" si="53"/>
        <v>0</v>
      </c>
      <c r="AI91" s="301">
        <f t="shared" si="53"/>
        <v>0</v>
      </c>
      <c r="AJ91" s="301">
        <f t="shared" si="53"/>
        <v>0</v>
      </c>
      <c r="AK91" s="301">
        <f t="shared" si="53"/>
        <v>0</v>
      </c>
      <c r="AL91" s="301">
        <f t="shared" si="53"/>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WuMglr4wzAgDr06KDmwQUdfwS6QwJKxX5eBZe1cLmRAjgZ7d5e/IXlW2ZiONq1+D4IJ6WOiGsfk4Pbi1bN8izA==" saltValue="K9t1jmjoEraMOUjcE84rZg==" spinCount="100000" sheet="1" objects="1" scenarios="1"/>
  <mergeCells count="29">
    <mergeCell ref="AO42:AO53"/>
    <mergeCell ref="F42:F55"/>
    <mergeCell ref="F78:G78"/>
    <mergeCell ref="F14:F15"/>
    <mergeCell ref="B17:B18"/>
    <mergeCell ref="C17:C18"/>
    <mergeCell ref="F26:F28"/>
    <mergeCell ref="F30:F38"/>
    <mergeCell ref="F56:F68"/>
    <mergeCell ref="F74:F75"/>
    <mergeCell ref="F17:F24"/>
    <mergeCell ref="F41:G41"/>
    <mergeCell ref="D79:E91"/>
    <mergeCell ref="F79:G79"/>
    <mergeCell ref="F80:G80"/>
    <mergeCell ref="F81:G81"/>
    <mergeCell ref="F82:G82"/>
    <mergeCell ref="F83:G83"/>
    <mergeCell ref="F84:G84"/>
    <mergeCell ref="F85:G85"/>
    <mergeCell ref="F86:G86"/>
    <mergeCell ref="F87:G87"/>
    <mergeCell ref="F94:G94"/>
    <mergeCell ref="F88:G88"/>
    <mergeCell ref="F89:G89"/>
    <mergeCell ref="F90:G90"/>
    <mergeCell ref="F91:G91"/>
    <mergeCell ref="F92:G92"/>
    <mergeCell ref="F93:G93"/>
  </mergeCells>
  <conditionalFormatting sqref="H11:AL12">
    <cfRule type="expression" dxfId="57" priority="10">
      <formula>OR(WEEKDAY(H$12,2)=7,IF(ISERROR(VLOOKUP(H$12,Feiertagsanspruch,1,FALSE)),0,VLOOKUP(H$12,Feiertagsanspruch,1,FALSE)))</formula>
    </cfRule>
  </conditionalFormatting>
  <conditionalFormatting sqref="H17:AL24">
    <cfRule type="expression" dxfId="56" priority="11">
      <formula>OR(WEEKDAY(H$12,2)=7,IF(ISERROR(VLOOKUP(H$12,Feiertagsanspruch,1,FALSE)),0,VLOOKUP(H$12,Feiertagsanspruch,1,FALSE)))</formula>
    </cfRule>
  </conditionalFormatting>
  <conditionalFormatting sqref="H30:AL32 H35:AL38">
    <cfRule type="expression" dxfId="55" priority="4">
      <formula>H$14=0</formula>
    </cfRule>
  </conditionalFormatting>
  <conditionalFormatting sqref="H33:AL34">
    <cfRule type="expression" dxfId="54" priority="1">
      <formula>H$9=0</formula>
    </cfRule>
  </conditionalFormatting>
  <conditionalFormatting sqref="H74:AL74">
    <cfRule type="cellIs" dxfId="53" priority="8" stopIfTrue="1" operator="lessThan">
      <formula>-20</formula>
    </cfRule>
    <cfRule type="cellIs" dxfId="52" priority="9" stopIfTrue="1" operator="greaterThan">
      <formula>50</formula>
    </cfRule>
  </conditionalFormatting>
  <conditionalFormatting sqref="H75:AL75">
    <cfRule type="cellIs" dxfId="51" priority="6" stopIfTrue="1" operator="lessThan">
      <formula>-2.38095238095238</formula>
    </cfRule>
    <cfRule type="cellIs" dxfId="50" priority="7" stopIfTrue="1" operator="greaterThan">
      <formula>5.95238095238095</formula>
    </cfRule>
  </conditionalFormatting>
  <dataValidations count="13">
    <dataValidation allowBlank="1" sqref="H29:AL29" xr:uid="{B36841B4-83CF-46BC-80B4-60FCA3493205}"/>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6037E34B-70D9-4FF4-B20A-CAE7EB996F70}">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954283BA-8B40-4621-942A-81D6DB9BB9B2}">
      <formula1>AND(J31&lt;=100, J31&gt;0,SUM(J30:J38)&lt;=J6,COUNTA(J30:J38)&lt;=MaxAbwesenheitenproTag,OR(AND(J30="",J32="",J33="",J35="",J36="",J37="",J38="")))</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9A8B8FEE-0B74-45BC-B7E7-22D02C95920F}">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DD185B56-7D42-4DDF-9E66-9F86AA53D78B}">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0E6024A2-7E2C-46CF-BAB4-FDCA8DCD8BDF}">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EE83965C-95F0-4F3C-875F-F7F8FD576279}">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1E866A7D-521B-45A4-BD8E-2C4F1AF84835}">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96983A02-CAEC-409C-B150-72CAFED5786E}">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F445AE65-1CF1-497F-AC07-4E4B41F1B9A6}">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CC887AC3-9ACE-4C50-B6F9-912B30D6129E}">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32726FCB-0D45-4D8F-9508-282031B10F69}">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E898085F-483A-4B87-9BBF-0D021D7024C2}">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12252E47-3D9C-4573-890D-079B7D1A7D35}">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8DA2-9DA8-4E2F-AF20-DDA1EB577729}">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171</v>
      </c>
      <c r="H3" s="171">
        <f t="shared" ref="H3:AI3" si="2">IF(OR(WEEKDAY(H$12,2)=7,H1&gt;0),0,TaginSt-H14-H4)</f>
        <v>8.4</v>
      </c>
      <c r="I3" s="171">
        <f t="shared" si="2"/>
        <v>0</v>
      </c>
      <c r="J3" s="171">
        <f t="shared" si="2"/>
        <v>0</v>
      </c>
      <c r="K3" s="171">
        <f t="shared" si="2"/>
        <v>0</v>
      </c>
      <c r="L3" s="171">
        <f t="shared" si="2"/>
        <v>0</v>
      </c>
      <c r="M3" s="171">
        <f t="shared" si="2"/>
        <v>0</v>
      </c>
      <c r="N3" s="171">
        <f t="shared" si="2"/>
        <v>0</v>
      </c>
      <c r="O3" s="171">
        <f t="shared" si="2"/>
        <v>8.4</v>
      </c>
      <c r="P3" s="171">
        <f t="shared" si="2"/>
        <v>0</v>
      </c>
      <c r="Q3" s="171">
        <f t="shared" si="2"/>
        <v>0</v>
      </c>
      <c r="R3" s="171">
        <f t="shared" si="2"/>
        <v>0</v>
      </c>
      <c r="S3" s="171">
        <f t="shared" si="2"/>
        <v>0</v>
      </c>
      <c r="T3" s="171">
        <f t="shared" si="2"/>
        <v>0</v>
      </c>
      <c r="U3" s="171">
        <f t="shared" si="2"/>
        <v>0</v>
      </c>
      <c r="V3" s="171">
        <f t="shared" si="2"/>
        <v>8.4</v>
      </c>
      <c r="W3" s="171">
        <f t="shared" si="2"/>
        <v>0</v>
      </c>
      <c r="X3" s="171">
        <f t="shared" si="2"/>
        <v>0</v>
      </c>
      <c r="Y3" s="171">
        <f t="shared" si="2"/>
        <v>0</v>
      </c>
      <c r="Z3" s="171">
        <f t="shared" si="2"/>
        <v>0</v>
      </c>
      <c r="AA3" s="171">
        <f t="shared" si="2"/>
        <v>0</v>
      </c>
      <c r="AB3" s="171">
        <f t="shared" si="2"/>
        <v>0</v>
      </c>
      <c r="AC3" s="171">
        <f t="shared" si="2"/>
        <v>8.4</v>
      </c>
      <c r="AD3" s="171">
        <f t="shared" si="2"/>
        <v>0</v>
      </c>
      <c r="AE3" s="171">
        <f t="shared" si="2"/>
        <v>0</v>
      </c>
      <c r="AF3" s="171">
        <f t="shared" si="2"/>
        <v>0</v>
      </c>
      <c r="AG3" s="171">
        <f t="shared" si="2"/>
        <v>0</v>
      </c>
      <c r="AH3" s="171">
        <f t="shared" si="2"/>
        <v>0</v>
      </c>
      <c r="AI3" s="171">
        <f t="shared" si="2"/>
        <v>0</v>
      </c>
      <c r="AJ3" s="171">
        <f>IFERROR(IF(OR(WEEKDAY(AJ$12,2)=7,AJ1&gt;0),0,TaginSt-AJ14-AJ4),0)</f>
        <v>8.4</v>
      </c>
      <c r="AK3" s="171">
        <f>IFERROR(IF(OR(WEEKDAY(AK$12,2)=7,AK1&gt;0),0,TaginSt-AK14-AK4),0)</f>
        <v>0</v>
      </c>
      <c r="AL3" s="171">
        <f>IFERROR(IF(OR(WEEKDAY(AL$12,2)=7,AL1&gt;0),0,TaginSt-AL14-AL4),0)</f>
        <v>0</v>
      </c>
      <c r="AM3" s="170">
        <f>SUM(H3:AL3)</f>
        <v>42</v>
      </c>
    </row>
    <row r="4" spans="2:39" hidden="1" x14ac:dyDescent="0.2">
      <c r="D4" s="166"/>
      <c r="E4" s="166"/>
      <c r="G4" s="167" t="s">
        <v>172</v>
      </c>
      <c r="H4" s="171">
        <f t="shared" ref="H4:AL4" si="3">IF(H14=0,0,((TaginSt-H1)-H14))</f>
        <v>0</v>
      </c>
      <c r="I4" s="170">
        <f t="shared" si="3"/>
        <v>0</v>
      </c>
      <c r="J4" s="170">
        <f t="shared" si="3"/>
        <v>1.6800000000000006</v>
      </c>
      <c r="K4" s="170">
        <f t="shared" si="3"/>
        <v>1.6800000000000006</v>
      </c>
      <c r="L4" s="170">
        <f t="shared" si="3"/>
        <v>1.6800000000000006</v>
      </c>
      <c r="M4" s="170">
        <f t="shared" si="3"/>
        <v>1.6800000000000006</v>
      </c>
      <c r="N4" s="170">
        <f t="shared" si="3"/>
        <v>1.6800000000000006</v>
      </c>
      <c r="O4" s="170">
        <f t="shared" si="3"/>
        <v>0</v>
      </c>
      <c r="P4" s="170">
        <f t="shared" si="3"/>
        <v>0</v>
      </c>
      <c r="Q4" s="170">
        <f t="shared" si="3"/>
        <v>1.6800000000000006</v>
      </c>
      <c r="R4" s="170">
        <f t="shared" si="3"/>
        <v>1.6800000000000006</v>
      </c>
      <c r="S4" s="170">
        <f t="shared" si="3"/>
        <v>1.6800000000000006</v>
      </c>
      <c r="T4" s="170">
        <f t="shared" si="3"/>
        <v>1.6800000000000006</v>
      </c>
      <c r="U4" s="170">
        <f t="shared" si="3"/>
        <v>1.6800000000000006</v>
      </c>
      <c r="V4" s="170">
        <f t="shared" si="3"/>
        <v>0</v>
      </c>
      <c r="W4" s="170">
        <f t="shared" si="3"/>
        <v>0</v>
      </c>
      <c r="X4" s="170">
        <f t="shared" si="3"/>
        <v>1.6800000000000006</v>
      </c>
      <c r="Y4" s="170">
        <f t="shared" si="3"/>
        <v>1.6800000000000006</v>
      </c>
      <c r="Z4" s="170">
        <f t="shared" si="3"/>
        <v>1.6800000000000006</v>
      </c>
      <c r="AA4" s="170">
        <f t="shared" si="3"/>
        <v>1.6800000000000006</v>
      </c>
      <c r="AB4" s="170">
        <f t="shared" si="3"/>
        <v>1.6800000000000006</v>
      </c>
      <c r="AC4" s="170">
        <f t="shared" si="3"/>
        <v>0</v>
      </c>
      <c r="AD4" s="170">
        <f t="shared" si="3"/>
        <v>0</v>
      </c>
      <c r="AE4" s="170">
        <f t="shared" si="3"/>
        <v>1.6800000000000006</v>
      </c>
      <c r="AF4" s="170">
        <f t="shared" si="3"/>
        <v>1.6800000000000006</v>
      </c>
      <c r="AG4" s="170">
        <f t="shared" si="3"/>
        <v>1.6800000000000006</v>
      </c>
      <c r="AH4" s="170">
        <f t="shared" si="3"/>
        <v>1.6800000000000006</v>
      </c>
      <c r="AI4" s="170">
        <f t="shared" si="3"/>
        <v>1.6800000000000006</v>
      </c>
      <c r="AJ4" s="170">
        <f t="shared" si="3"/>
        <v>0</v>
      </c>
      <c r="AK4" s="170">
        <f t="shared" si="3"/>
        <v>0</v>
      </c>
      <c r="AL4" s="170">
        <f t="shared" si="3"/>
        <v>0</v>
      </c>
      <c r="AM4" s="170">
        <f>SUM(H4:AL4)</f>
        <v>33.6</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0</v>
      </c>
      <c r="AM5" s="170"/>
    </row>
    <row r="6" spans="2:39" hidden="1" x14ac:dyDescent="0.2">
      <c r="D6" s="166"/>
      <c r="E6" s="166"/>
      <c r="F6" s="172" t="s">
        <v>7</v>
      </c>
      <c r="G6" s="173" t="s">
        <v>107</v>
      </c>
      <c r="H6" s="174">
        <f t="shared" ref="H6:AI6" si="5">IF(AND(H7=1,H9&gt;0,WEEKDAY(H12,2)&lt;6),(TaginSt-H1)/TaginSt,0)</f>
        <v>0</v>
      </c>
      <c r="I6" s="174">
        <f t="shared" si="5"/>
        <v>0</v>
      </c>
      <c r="J6" s="174">
        <f t="shared" si="5"/>
        <v>1</v>
      </c>
      <c r="K6" s="174">
        <f t="shared" si="5"/>
        <v>1</v>
      </c>
      <c r="L6" s="174">
        <f t="shared" si="5"/>
        <v>1</v>
      </c>
      <c r="M6" s="174">
        <f t="shared" si="5"/>
        <v>1</v>
      </c>
      <c r="N6" s="174">
        <f t="shared" si="5"/>
        <v>1</v>
      </c>
      <c r="O6" s="174">
        <f t="shared" si="5"/>
        <v>0</v>
      </c>
      <c r="P6" s="174">
        <f t="shared" si="5"/>
        <v>0</v>
      </c>
      <c r="Q6" s="174">
        <f t="shared" si="5"/>
        <v>1</v>
      </c>
      <c r="R6" s="174">
        <f t="shared" si="5"/>
        <v>1</v>
      </c>
      <c r="S6" s="174">
        <f t="shared" si="5"/>
        <v>1</v>
      </c>
      <c r="T6" s="174">
        <f t="shared" si="5"/>
        <v>1</v>
      </c>
      <c r="U6" s="174">
        <f t="shared" si="5"/>
        <v>1</v>
      </c>
      <c r="V6" s="174">
        <f t="shared" si="5"/>
        <v>0</v>
      </c>
      <c r="W6" s="174">
        <f t="shared" si="5"/>
        <v>0</v>
      </c>
      <c r="X6" s="174">
        <f t="shared" si="5"/>
        <v>1</v>
      </c>
      <c r="Y6" s="174">
        <f t="shared" si="5"/>
        <v>1</v>
      </c>
      <c r="Z6" s="174">
        <f t="shared" si="5"/>
        <v>1</v>
      </c>
      <c r="AA6" s="174">
        <f t="shared" si="5"/>
        <v>1</v>
      </c>
      <c r="AB6" s="174">
        <f t="shared" si="5"/>
        <v>1</v>
      </c>
      <c r="AC6" s="174">
        <f t="shared" si="5"/>
        <v>0</v>
      </c>
      <c r="AD6" s="174">
        <f t="shared" si="5"/>
        <v>0</v>
      </c>
      <c r="AE6" s="174">
        <f t="shared" si="5"/>
        <v>1</v>
      </c>
      <c r="AF6" s="174">
        <f t="shared" si="5"/>
        <v>1</v>
      </c>
      <c r="AG6" s="174">
        <f t="shared" si="5"/>
        <v>1</v>
      </c>
      <c r="AH6" s="174">
        <f t="shared" si="5"/>
        <v>1</v>
      </c>
      <c r="AI6" s="174">
        <f t="shared" si="5"/>
        <v>1</v>
      </c>
      <c r="AJ6" s="174">
        <f>IFERROR(IF(AND(AJ7=1,AJ9&gt;0,WEEKDAY(AJ12,2)&lt;6),(TaginSt-AJ1)/TaginSt,0),0)</f>
        <v>0</v>
      </c>
      <c r="AK6" s="174">
        <f>IFERROR(IF(AND(AK7=1,AK9&gt;0,WEEKDAY(AK12,2)&lt;6),(TaginSt-AK1)/TaginSt,0),0)</f>
        <v>0</v>
      </c>
      <c r="AL6" s="174">
        <f>IFERROR(IF(AND(AL7=1,AL9&gt;0,WEEKDAY(AL12,2)&lt;6),(TaginSt-AL1)/TaginSt,0),0)</f>
        <v>0</v>
      </c>
      <c r="AM6" s="175"/>
    </row>
    <row r="7" spans="2:39" hidden="1" x14ac:dyDescent="0.2">
      <c r="F7" s="176">
        <v>11</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November</v>
      </c>
      <c r="C11" s="184">
        <f>Jahr</f>
        <v>2025</v>
      </c>
      <c r="D11" s="166"/>
      <c r="E11" s="166"/>
      <c r="F11" s="185"/>
      <c r="G11" s="186"/>
      <c r="H11" s="187" t="str">
        <f>TEXT(H12,"TTT")</f>
        <v>Sa</v>
      </c>
      <c r="I11" s="188" t="str">
        <f>TEXT(I12,"TTT")</f>
        <v>So</v>
      </c>
      <c r="J11" s="188" t="str">
        <f t="shared" ref="J11:L11" si="8">TEXT(J12,"TTT")</f>
        <v>Mo</v>
      </c>
      <c r="K11" s="188" t="str">
        <f t="shared" si="8"/>
        <v>Di</v>
      </c>
      <c r="L11" s="188" t="str">
        <f t="shared" si="8"/>
        <v>Mi</v>
      </c>
      <c r="M11" s="188" t="str">
        <f>TEXT(M12,"TTT")</f>
        <v>Do</v>
      </c>
      <c r="N11" s="188" t="str">
        <f t="shared" ref="N11:AL11" si="9">TEXT(N12,"TTT")</f>
        <v>Fr</v>
      </c>
      <c r="O11" s="188" t="str">
        <f t="shared" si="9"/>
        <v>Sa</v>
      </c>
      <c r="P11" s="188" t="str">
        <f t="shared" si="9"/>
        <v>So</v>
      </c>
      <c r="Q11" s="188" t="str">
        <f t="shared" si="9"/>
        <v>Mo</v>
      </c>
      <c r="R11" s="188" t="str">
        <f t="shared" si="9"/>
        <v>Di</v>
      </c>
      <c r="S11" s="188" t="str">
        <f t="shared" si="9"/>
        <v>Mi</v>
      </c>
      <c r="T11" s="188" t="str">
        <f t="shared" si="9"/>
        <v>Do</v>
      </c>
      <c r="U11" s="188" t="str">
        <f t="shared" si="9"/>
        <v>Fr</v>
      </c>
      <c r="V11" s="188" t="str">
        <f t="shared" si="9"/>
        <v>Sa</v>
      </c>
      <c r="W11" s="188" t="str">
        <f t="shared" si="9"/>
        <v>So</v>
      </c>
      <c r="X11" s="188" t="str">
        <f t="shared" si="9"/>
        <v>Mo</v>
      </c>
      <c r="Y11" s="188" t="str">
        <f t="shared" si="9"/>
        <v>Di</v>
      </c>
      <c r="Z11" s="188" t="str">
        <f t="shared" si="9"/>
        <v>Mi</v>
      </c>
      <c r="AA11" s="188" t="str">
        <f t="shared" si="9"/>
        <v>Do</v>
      </c>
      <c r="AB11" s="188" t="str">
        <f t="shared" si="9"/>
        <v>Fr</v>
      </c>
      <c r="AC11" s="188" t="str">
        <f t="shared" si="9"/>
        <v>Sa</v>
      </c>
      <c r="AD11" s="188" t="str">
        <f t="shared" si="9"/>
        <v>So</v>
      </c>
      <c r="AE11" s="188" t="str">
        <f t="shared" si="9"/>
        <v>Mo</v>
      </c>
      <c r="AF11" s="188" t="str">
        <f t="shared" si="9"/>
        <v>Di</v>
      </c>
      <c r="AG11" s="188" t="str">
        <f t="shared" si="9"/>
        <v>Mi</v>
      </c>
      <c r="AH11" s="188" t="str">
        <f t="shared" si="9"/>
        <v>Do</v>
      </c>
      <c r="AI11" s="188" t="str">
        <f t="shared" si="9"/>
        <v>Fr</v>
      </c>
      <c r="AJ11" s="188" t="str">
        <f t="shared" si="9"/>
        <v>Sa</v>
      </c>
      <c r="AK11" s="188" t="str">
        <f t="shared" si="9"/>
        <v>So</v>
      </c>
      <c r="AL11" s="188" t="str">
        <f t="shared" si="9"/>
        <v/>
      </c>
      <c r="AM11" s="188"/>
    </row>
    <row r="12" spans="2:39" ht="12.75" customHeight="1" thickBot="1" x14ac:dyDescent="0.25">
      <c r="B12" s="189" t="str">
        <f>Pfarrer</f>
        <v>Heinz Muster</v>
      </c>
      <c r="C12" s="190"/>
      <c r="D12" s="191"/>
      <c r="E12" s="191"/>
      <c r="F12" s="185"/>
      <c r="G12" s="192" t="s">
        <v>2</v>
      </c>
      <c r="H12" s="193">
        <f>DATE(C11,F7,1)</f>
        <v>44500</v>
      </c>
      <c r="I12" s="194">
        <f>DATE(C11,F7,2)</f>
        <v>44501</v>
      </c>
      <c r="J12" s="194">
        <f>DATE(C11,F7,3)</f>
        <v>44502</v>
      </c>
      <c r="K12" s="194">
        <f>DATE(C11,F7,4)</f>
        <v>44503</v>
      </c>
      <c r="L12" s="194">
        <f>DATE(C11,F7,5)</f>
        <v>44504</v>
      </c>
      <c r="M12" s="194">
        <f>DATE(C11,F7,6)</f>
        <v>44505</v>
      </c>
      <c r="N12" s="194">
        <f>DATE(C11,F7,7)</f>
        <v>44506</v>
      </c>
      <c r="O12" s="194">
        <f>DATE(C11,F7,8)</f>
        <v>44507</v>
      </c>
      <c r="P12" s="194">
        <f>DATE(C11,F7,9)</f>
        <v>44508</v>
      </c>
      <c r="Q12" s="194">
        <f>DATE(C11,F7,10)</f>
        <v>44509</v>
      </c>
      <c r="R12" s="194">
        <f>DATE(C11,F7,11)</f>
        <v>44510</v>
      </c>
      <c r="S12" s="194">
        <f>DATE(C11,F7,12)</f>
        <v>44511</v>
      </c>
      <c r="T12" s="194">
        <f>DATE(C11,F7,13)</f>
        <v>44512</v>
      </c>
      <c r="U12" s="194">
        <f>DATE(C11,F7,14)</f>
        <v>44513</v>
      </c>
      <c r="V12" s="194">
        <f>DATE(C11,F7,15)</f>
        <v>44514</v>
      </c>
      <c r="W12" s="194">
        <f>DATE(C11,F7,16)</f>
        <v>44515</v>
      </c>
      <c r="X12" s="194">
        <f>DATE(C11,F7,17)</f>
        <v>44516</v>
      </c>
      <c r="Y12" s="194">
        <f>DATE(C11,F7,18)</f>
        <v>44517</v>
      </c>
      <c r="Z12" s="194">
        <f>DATE(C11,F7,19)</f>
        <v>44518</v>
      </c>
      <c r="AA12" s="194">
        <f>DATE(C11,F7,20)</f>
        <v>44519</v>
      </c>
      <c r="AB12" s="194">
        <f>DATE(C11,F7,21)</f>
        <v>44520</v>
      </c>
      <c r="AC12" s="194">
        <f>DATE(C11,F7,22)</f>
        <v>44521</v>
      </c>
      <c r="AD12" s="194">
        <f>DATE(C11,F7,23)</f>
        <v>44522</v>
      </c>
      <c r="AE12" s="194">
        <f>DATE(C11,F7,24)</f>
        <v>44523</v>
      </c>
      <c r="AF12" s="194">
        <f>DATE(C11,F7,25)</f>
        <v>44524</v>
      </c>
      <c r="AG12" s="194">
        <f>DATE(C11,F7,26)</f>
        <v>44525</v>
      </c>
      <c r="AH12" s="194">
        <f>DATE(C11,F7,27)</f>
        <v>44526</v>
      </c>
      <c r="AI12" s="194">
        <f>DATE(C11,F7,28)</f>
        <v>44527</v>
      </c>
      <c r="AJ12" s="194">
        <f>IFERROR(IF(MONTH(AI12+1)=MONTH($H$12),AI$12+1,""),"")</f>
        <v>44528</v>
      </c>
      <c r="AK12" s="194">
        <f>IFERROR(IF(MONTH(AJ12+1)=MONTH($H$12),AJ$12+1,""),"")</f>
        <v>44529</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0</v>
      </c>
      <c r="I14" s="204">
        <f t="shared" si="10"/>
        <v>0</v>
      </c>
      <c r="J14" s="204">
        <f t="shared" si="10"/>
        <v>6.72</v>
      </c>
      <c r="K14" s="204">
        <f t="shared" si="10"/>
        <v>6.72</v>
      </c>
      <c r="L14" s="204">
        <f t="shared" si="10"/>
        <v>6.72</v>
      </c>
      <c r="M14" s="204">
        <f t="shared" si="10"/>
        <v>6.72</v>
      </c>
      <c r="N14" s="204">
        <f t="shared" si="10"/>
        <v>6.72</v>
      </c>
      <c r="O14" s="204">
        <f t="shared" si="10"/>
        <v>0</v>
      </c>
      <c r="P14" s="204">
        <f t="shared" si="10"/>
        <v>0</v>
      </c>
      <c r="Q14" s="204">
        <f t="shared" si="10"/>
        <v>6.72</v>
      </c>
      <c r="R14" s="204">
        <f t="shared" si="10"/>
        <v>6.72</v>
      </c>
      <c r="S14" s="204">
        <f t="shared" si="10"/>
        <v>6.72</v>
      </c>
      <c r="T14" s="204">
        <f t="shared" si="10"/>
        <v>6.72</v>
      </c>
      <c r="U14" s="204">
        <f t="shared" si="10"/>
        <v>6.72</v>
      </c>
      <c r="V14" s="204">
        <f t="shared" si="10"/>
        <v>0</v>
      </c>
      <c r="W14" s="204">
        <f t="shared" si="10"/>
        <v>0</v>
      </c>
      <c r="X14" s="204">
        <f t="shared" si="10"/>
        <v>6.72</v>
      </c>
      <c r="Y14" s="204">
        <f t="shared" si="10"/>
        <v>6.72</v>
      </c>
      <c r="Z14" s="204">
        <f t="shared" si="10"/>
        <v>6.72</v>
      </c>
      <c r="AA14" s="204">
        <f t="shared" si="10"/>
        <v>6.72</v>
      </c>
      <c r="AB14" s="204">
        <f t="shared" si="10"/>
        <v>6.72</v>
      </c>
      <c r="AC14" s="204">
        <f t="shared" si="10"/>
        <v>0</v>
      </c>
      <c r="AD14" s="204">
        <f t="shared" si="10"/>
        <v>0</v>
      </c>
      <c r="AE14" s="204">
        <f t="shared" si="10"/>
        <v>6.72</v>
      </c>
      <c r="AF14" s="204">
        <f t="shared" si="10"/>
        <v>6.72</v>
      </c>
      <c r="AG14" s="204">
        <f t="shared" si="10"/>
        <v>6.72</v>
      </c>
      <c r="AH14" s="204">
        <f t="shared" si="10"/>
        <v>6.72</v>
      </c>
      <c r="AI14" s="204">
        <f t="shared" si="10"/>
        <v>6.72</v>
      </c>
      <c r="AJ14" s="204">
        <f>IFERROR(IF(OR(WEEKDAY(AJ12,2)&gt;=6,AJ7=0),0,(TaginSt-AJ1)*AJ9/100),0)</f>
        <v>0</v>
      </c>
      <c r="AK14" s="204">
        <f>IFERROR(IF(OR(WEEKDAY(AK12,2)&gt;=6,AK7=0),0,(TaginSt-AK1)*AK9/100),0)</f>
        <v>0</v>
      </c>
      <c r="AL14" s="204">
        <f>IFERROR(IF(OR(WEEKDAY(AL12,2)&gt;=6,AL7=0),0,(TaginSt-AL1)*AL9/100),0)</f>
        <v>0</v>
      </c>
      <c r="AM14" s="205">
        <f>SUM(H14:AL14)</f>
        <v>134.4</v>
      </c>
    </row>
    <row r="15" spans="2:39" ht="12.75" customHeight="1" x14ac:dyDescent="0.2">
      <c r="D15" s="202"/>
      <c r="E15" s="202"/>
      <c r="F15" s="566"/>
      <c r="G15" s="203" t="s">
        <v>136</v>
      </c>
      <c r="H15" s="204">
        <f t="shared" ref="H15:AL15" si="11">H14/TaginSt</f>
        <v>0</v>
      </c>
      <c r="I15" s="206">
        <f t="shared" si="11"/>
        <v>0</v>
      </c>
      <c r="J15" s="206">
        <f t="shared" si="11"/>
        <v>0.79999999999999993</v>
      </c>
      <c r="K15" s="206">
        <f t="shared" si="11"/>
        <v>0.79999999999999993</v>
      </c>
      <c r="L15" s="206">
        <f t="shared" si="11"/>
        <v>0.79999999999999993</v>
      </c>
      <c r="M15" s="206">
        <f t="shared" si="11"/>
        <v>0.79999999999999993</v>
      </c>
      <c r="N15" s="206">
        <f t="shared" si="11"/>
        <v>0.79999999999999993</v>
      </c>
      <c r="O15" s="206">
        <f t="shared" si="11"/>
        <v>0</v>
      </c>
      <c r="P15" s="206">
        <f t="shared" si="11"/>
        <v>0</v>
      </c>
      <c r="Q15" s="206">
        <f t="shared" si="11"/>
        <v>0.79999999999999993</v>
      </c>
      <c r="R15" s="206">
        <f t="shared" si="11"/>
        <v>0.79999999999999993</v>
      </c>
      <c r="S15" s="206">
        <f t="shared" si="11"/>
        <v>0.79999999999999993</v>
      </c>
      <c r="T15" s="206">
        <f t="shared" si="11"/>
        <v>0.79999999999999993</v>
      </c>
      <c r="U15" s="206">
        <f t="shared" si="11"/>
        <v>0.79999999999999993</v>
      </c>
      <c r="V15" s="206">
        <f t="shared" si="11"/>
        <v>0</v>
      </c>
      <c r="W15" s="206">
        <f t="shared" si="11"/>
        <v>0</v>
      </c>
      <c r="X15" s="206">
        <f t="shared" si="11"/>
        <v>0.79999999999999993</v>
      </c>
      <c r="Y15" s="206">
        <f t="shared" si="11"/>
        <v>0.79999999999999993</v>
      </c>
      <c r="Z15" s="206">
        <f t="shared" si="11"/>
        <v>0.79999999999999993</v>
      </c>
      <c r="AA15" s="206">
        <f t="shared" si="11"/>
        <v>0.79999999999999993</v>
      </c>
      <c r="AB15" s="206">
        <f t="shared" si="11"/>
        <v>0.79999999999999993</v>
      </c>
      <c r="AC15" s="206">
        <f t="shared" si="11"/>
        <v>0</v>
      </c>
      <c r="AD15" s="206">
        <f t="shared" si="11"/>
        <v>0</v>
      </c>
      <c r="AE15" s="206">
        <f t="shared" si="11"/>
        <v>0.79999999999999993</v>
      </c>
      <c r="AF15" s="206">
        <f t="shared" si="11"/>
        <v>0.79999999999999993</v>
      </c>
      <c r="AG15" s="206">
        <f t="shared" si="11"/>
        <v>0.79999999999999993</v>
      </c>
      <c r="AH15" s="206">
        <f t="shared" si="11"/>
        <v>0.79999999999999993</v>
      </c>
      <c r="AI15" s="206">
        <f t="shared" si="11"/>
        <v>0.79999999999999993</v>
      </c>
      <c r="AJ15" s="206">
        <f t="shared" si="11"/>
        <v>0</v>
      </c>
      <c r="AK15" s="206">
        <f t="shared" si="11"/>
        <v>0</v>
      </c>
      <c r="AL15" s="206">
        <f t="shared" si="11"/>
        <v>0</v>
      </c>
      <c r="AM15" s="205">
        <f>SUM(H15:AL15)</f>
        <v>16.000000000000004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SaldoStdEndeOkt</f>
        <v>-1417.9200000000046</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Okt!C23-AM42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Okt!C27-AM50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1</v>
      </c>
      <c r="I39" s="263">
        <f t="shared" si="16"/>
        <v>0</v>
      </c>
      <c r="J39" s="263">
        <f t="shared" si="16"/>
        <v>0</v>
      </c>
      <c r="K39" s="263">
        <f t="shared" si="16"/>
        <v>0</v>
      </c>
      <c r="L39" s="263">
        <f>IF(ISERROR(L51/TaginSt),0,L51/TaginSt)</f>
        <v>0</v>
      </c>
      <c r="M39" s="263">
        <f t="shared" si="16"/>
        <v>0</v>
      </c>
      <c r="N39" s="263">
        <f t="shared" si="16"/>
        <v>0</v>
      </c>
      <c r="O39" s="263">
        <f t="shared" si="16"/>
        <v>1</v>
      </c>
      <c r="P39" s="263">
        <f t="shared" si="16"/>
        <v>0</v>
      </c>
      <c r="Q39" s="263">
        <f t="shared" si="16"/>
        <v>0</v>
      </c>
      <c r="R39" s="263">
        <f t="shared" si="16"/>
        <v>0</v>
      </c>
      <c r="S39" s="263">
        <f t="shared" si="16"/>
        <v>0</v>
      </c>
      <c r="T39" s="263">
        <f t="shared" si="16"/>
        <v>0</v>
      </c>
      <c r="U39" s="263">
        <f t="shared" si="16"/>
        <v>0</v>
      </c>
      <c r="V39" s="263">
        <f t="shared" si="16"/>
        <v>1</v>
      </c>
      <c r="W39" s="263">
        <f t="shared" si="16"/>
        <v>0</v>
      </c>
      <c r="X39" s="263">
        <f t="shared" si="16"/>
        <v>0</v>
      </c>
      <c r="Y39" s="263">
        <f t="shared" si="16"/>
        <v>0</v>
      </c>
      <c r="Z39" s="263">
        <f t="shared" si="16"/>
        <v>0</v>
      </c>
      <c r="AA39" s="263">
        <f t="shared" si="16"/>
        <v>0</v>
      </c>
      <c r="AB39" s="263">
        <f t="shared" si="16"/>
        <v>0</v>
      </c>
      <c r="AC39" s="263">
        <f t="shared" si="16"/>
        <v>1</v>
      </c>
      <c r="AD39" s="263">
        <f t="shared" si="16"/>
        <v>0</v>
      </c>
      <c r="AE39" s="263">
        <f t="shared" si="16"/>
        <v>0</v>
      </c>
      <c r="AF39" s="263">
        <f t="shared" si="16"/>
        <v>0</v>
      </c>
      <c r="AG39" s="263">
        <f t="shared" si="16"/>
        <v>0</v>
      </c>
      <c r="AH39" s="263">
        <f t="shared" si="16"/>
        <v>0</v>
      </c>
      <c r="AI39" s="263">
        <f t="shared" si="16"/>
        <v>0</v>
      </c>
      <c r="AJ39" s="263">
        <f t="shared" si="16"/>
        <v>1</v>
      </c>
      <c r="AK39" s="263">
        <f t="shared" si="16"/>
        <v>0</v>
      </c>
      <c r="AL39" s="263">
        <f t="shared" si="16"/>
        <v>0</v>
      </c>
      <c r="AM39" s="264">
        <f>SUM(H39:AL39)</f>
        <v>5</v>
      </c>
      <c r="AN39" s="265"/>
    </row>
    <row r="40" spans="2:43" ht="12.75" customHeight="1" x14ac:dyDescent="0.2">
      <c r="D40" s="250"/>
      <c r="E40" s="250"/>
      <c r="F40" s="459" t="s">
        <v>267</v>
      </c>
      <c r="G40" s="266" t="s">
        <v>188</v>
      </c>
      <c r="H40" s="263">
        <f t="shared" si="16"/>
        <v>0</v>
      </c>
      <c r="I40" s="263">
        <f t="shared" si="16"/>
        <v>0</v>
      </c>
      <c r="J40" s="263">
        <f>IF(ISERROR(J52/TaginSt),0,J52/TaginSt)</f>
        <v>1</v>
      </c>
      <c r="K40" s="263">
        <f t="shared" si="16"/>
        <v>1</v>
      </c>
      <c r="L40" s="263">
        <f t="shared" si="16"/>
        <v>1</v>
      </c>
      <c r="M40" s="263">
        <f t="shared" si="16"/>
        <v>1</v>
      </c>
      <c r="N40" s="263">
        <f t="shared" si="16"/>
        <v>1</v>
      </c>
      <c r="O40" s="263">
        <f t="shared" si="16"/>
        <v>0</v>
      </c>
      <c r="P40" s="263">
        <f t="shared" si="16"/>
        <v>0</v>
      </c>
      <c r="Q40" s="263">
        <f t="shared" si="16"/>
        <v>1</v>
      </c>
      <c r="R40" s="263">
        <f t="shared" si="16"/>
        <v>1</v>
      </c>
      <c r="S40" s="263">
        <f t="shared" si="16"/>
        <v>1</v>
      </c>
      <c r="T40" s="263">
        <f t="shared" si="16"/>
        <v>1</v>
      </c>
      <c r="U40" s="263">
        <f t="shared" si="16"/>
        <v>1</v>
      </c>
      <c r="V40" s="263">
        <f t="shared" si="16"/>
        <v>0</v>
      </c>
      <c r="W40" s="263">
        <f t="shared" si="16"/>
        <v>0</v>
      </c>
      <c r="X40" s="263">
        <f t="shared" si="16"/>
        <v>1</v>
      </c>
      <c r="Y40" s="263">
        <f t="shared" si="16"/>
        <v>1</v>
      </c>
      <c r="Z40" s="263">
        <f t="shared" si="16"/>
        <v>1</v>
      </c>
      <c r="AA40" s="263">
        <f t="shared" si="16"/>
        <v>1</v>
      </c>
      <c r="AB40" s="263">
        <f t="shared" si="16"/>
        <v>1</v>
      </c>
      <c r="AC40" s="263">
        <f t="shared" si="16"/>
        <v>0</v>
      </c>
      <c r="AD40" s="263">
        <f t="shared" si="16"/>
        <v>0</v>
      </c>
      <c r="AE40" s="263">
        <f t="shared" si="16"/>
        <v>1</v>
      </c>
      <c r="AF40" s="263">
        <f t="shared" si="16"/>
        <v>1</v>
      </c>
      <c r="AG40" s="263">
        <f t="shared" si="16"/>
        <v>1</v>
      </c>
      <c r="AH40" s="263">
        <f t="shared" si="16"/>
        <v>1</v>
      </c>
      <c r="AI40" s="263">
        <f t="shared" si="16"/>
        <v>1</v>
      </c>
      <c r="AJ40" s="263">
        <f t="shared" si="16"/>
        <v>0</v>
      </c>
      <c r="AK40" s="263">
        <f t="shared" si="16"/>
        <v>0</v>
      </c>
      <c r="AL40" s="263">
        <f t="shared" si="16"/>
        <v>0</v>
      </c>
      <c r="AM40" s="264">
        <f>SUM(H40:AL40)</f>
        <v>20</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8.4</v>
      </c>
      <c r="I51" s="270">
        <f t="shared" si="29"/>
        <v>0</v>
      </c>
      <c r="J51" s="270">
        <f t="shared" si="29"/>
        <v>0</v>
      </c>
      <c r="K51" s="270">
        <f t="shared" si="29"/>
        <v>0</v>
      </c>
      <c r="L51" s="270">
        <f t="shared" si="29"/>
        <v>0</v>
      </c>
      <c r="M51" s="270">
        <f t="shared" si="29"/>
        <v>0</v>
      </c>
      <c r="N51" s="270">
        <f t="shared" si="29"/>
        <v>0</v>
      </c>
      <c r="O51" s="270">
        <f t="shared" si="29"/>
        <v>8.4</v>
      </c>
      <c r="P51" s="270">
        <f t="shared" si="29"/>
        <v>0</v>
      </c>
      <c r="Q51" s="270">
        <f t="shared" si="29"/>
        <v>0</v>
      </c>
      <c r="R51" s="270">
        <f t="shared" si="29"/>
        <v>0</v>
      </c>
      <c r="S51" s="270">
        <f t="shared" si="29"/>
        <v>0</v>
      </c>
      <c r="T51" s="270">
        <f t="shared" si="29"/>
        <v>0</v>
      </c>
      <c r="U51" s="270">
        <f t="shared" si="29"/>
        <v>0</v>
      </c>
      <c r="V51" s="270">
        <f t="shared" si="29"/>
        <v>8.4</v>
      </c>
      <c r="W51" s="270">
        <f t="shared" si="29"/>
        <v>0</v>
      </c>
      <c r="X51" s="270">
        <f t="shared" si="29"/>
        <v>0</v>
      </c>
      <c r="Y51" s="270">
        <f t="shared" si="29"/>
        <v>0</v>
      </c>
      <c r="Z51" s="270">
        <f t="shared" si="29"/>
        <v>0</v>
      </c>
      <c r="AA51" s="270">
        <f t="shared" si="29"/>
        <v>0</v>
      </c>
      <c r="AB51" s="270">
        <f t="shared" si="29"/>
        <v>0</v>
      </c>
      <c r="AC51" s="270">
        <f t="shared" si="29"/>
        <v>8.4</v>
      </c>
      <c r="AD51" s="270">
        <f t="shared" si="29"/>
        <v>0</v>
      </c>
      <c r="AE51" s="270">
        <f t="shared" si="29"/>
        <v>0</v>
      </c>
      <c r="AF51" s="270">
        <f t="shared" si="29"/>
        <v>0</v>
      </c>
      <c r="AG51" s="270">
        <f t="shared" si="29"/>
        <v>0</v>
      </c>
      <c r="AH51" s="270">
        <f t="shared" si="29"/>
        <v>0</v>
      </c>
      <c r="AI51" s="270">
        <f t="shared" si="29"/>
        <v>0</v>
      </c>
      <c r="AJ51" s="270">
        <f>IFERROR(IF(OR(AJ3&gt;0,AND(AJ9=100,OR(WEEKDAY(AJ12,2)&lt;7,AJ1&gt;0))),AJ3+AJ14-AJ26,0),"")</f>
        <v>8.4</v>
      </c>
      <c r="AK51" s="270">
        <f>IFERROR(IF(OR(AK3&gt;0,AND(AK9=100,OR(WEEKDAY(AK12,2)&lt;7,AK1&gt;0))),AK3+AK14-AK26,0),"")</f>
        <v>0</v>
      </c>
      <c r="AL51" s="270" t="str">
        <f>IFERROR(IF(OR(AL3&gt;0,AND(AL9=100,OR(WEEKDAY(AL12,2)&lt;7,AL1&gt;0))),AL3+AL14-AL26,0),"")</f>
        <v/>
      </c>
      <c r="AM51" s="271">
        <f t="shared" si="20"/>
        <v>42</v>
      </c>
      <c r="AN51" s="272"/>
      <c r="AO51" s="562"/>
    </row>
    <row r="52" spans="2:41" ht="12.75" hidden="1" customHeight="1" x14ac:dyDescent="0.2">
      <c r="B52" s="256"/>
      <c r="C52" s="257"/>
      <c r="D52" s="250"/>
      <c r="E52" s="250"/>
      <c r="F52" s="564"/>
      <c r="G52" s="269" t="s">
        <v>170</v>
      </c>
      <c r="H52" s="270">
        <f t="shared" ref="H52:AI52" si="30">IF(H4&gt;0,IF(AND(H1&gt;0,H14+H4-H26&lt;=H4),H4,H14+H4-H26),0)</f>
        <v>0</v>
      </c>
      <c r="I52" s="270">
        <f t="shared" si="30"/>
        <v>0</v>
      </c>
      <c r="J52" s="270">
        <f t="shared" si="30"/>
        <v>8.4</v>
      </c>
      <c r="K52" s="270">
        <f t="shared" si="30"/>
        <v>8.4</v>
      </c>
      <c r="L52" s="270">
        <f t="shared" si="30"/>
        <v>8.4</v>
      </c>
      <c r="M52" s="270">
        <f t="shared" si="30"/>
        <v>8.4</v>
      </c>
      <c r="N52" s="270">
        <f t="shared" si="30"/>
        <v>8.4</v>
      </c>
      <c r="O52" s="270">
        <f t="shared" si="30"/>
        <v>0</v>
      </c>
      <c r="P52" s="270">
        <f t="shared" si="30"/>
        <v>0</v>
      </c>
      <c r="Q52" s="270">
        <f t="shared" si="30"/>
        <v>8.4</v>
      </c>
      <c r="R52" s="270">
        <f t="shared" si="30"/>
        <v>8.4</v>
      </c>
      <c r="S52" s="270">
        <f t="shared" si="30"/>
        <v>8.4</v>
      </c>
      <c r="T52" s="270">
        <f t="shared" si="30"/>
        <v>8.4</v>
      </c>
      <c r="U52" s="270">
        <f t="shared" si="30"/>
        <v>8.4</v>
      </c>
      <c r="V52" s="270">
        <f t="shared" si="30"/>
        <v>0</v>
      </c>
      <c r="W52" s="270">
        <f t="shared" si="30"/>
        <v>0</v>
      </c>
      <c r="X52" s="270">
        <f t="shared" si="30"/>
        <v>8.4</v>
      </c>
      <c r="Y52" s="270">
        <f t="shared" si="30"/>
        <v>8.4</v>
      </c>
      <c r="Z52" s="270">
        <f t="shared" si="30"/>
        <v>8.4</v>
      </c>
      <c r="AA52" s="270">
        <f t="shared" si="30"/>
        <v>8.4</v>
      </c>
      <c r="AB52" s="270">
        <f t="shared" si="30"/>
        <v>8.4</v>
      </c>
      <c r="AC52" s="270">
        <f t="shared" si="30"/>
        <v>0</v>
      </c>
      <c r="AD52" s="270">
        <f t="shared" si="30"/>
        <v>0</v>
      </c>
      <c r="AE52" s="270">
        <f t="shared" si="30"/>
        <v>8.4</v>
      </c>
      <c r="AF52" s="270">
        <f t="shared" si="30"/>
        <v>8.4</v>
      </c>
      <c r="AG52" s="270">
        <f t="shared" si="30"/>
        <v>8.4</v>
      </c>
      <c r="AH52" s="270">
        <f t="shared" si="30"/>
        <v>8.4</v>
      </c>
      <c r="AI52" s="270">
        <f t="shared" si="30"/>
        <v>8.4</v>
      </c>
      <c r="AJ52" s="270">
        <f>IFERROR(IF(AJ4&gt;0,IF(AND(AJ1&gt;0,AJ14+AJ4-AJ26&lt;=AJ4),AJ4,AJ14+AJ4-AJ26),0),"")</f>
        <v>0</v>
      </c>
      <c r="AK52" s="270">
        <f>IFERROR(IF(AK4&gt;0,IF(AND(AK1&gt;0,AK14+AK4-AK26&lt;=AK4),AK4,AK14+AK4-AK26),0),"")</f>
        <v>0</v>
      </c>
      <c r="AL52" s="270">
        <f>IFERROR(IF(AL4&gt;0,IF(AND(AL1&gt;0,AL14+AL4-AL26&lt;=AL4),AL4,AL14+AL4-AL26),0),"")</f>
        <v>0</v>
      </c>
      <c r="AM52" s="271">
        <f t="shared" si="20"/>
        <v>168.00000000000006</v>
      </c>
      <c r="AN52" s="272"/>
      <c r="AO52" s="562"/>
    </row>
    <row r="53" spans="2:41" ht="12.75" hidden="1" customHeight="1" x14ac:dyDescent="0.2">
      <c r="B53" s="256"/>
      <c r="C53" s="257"/>
      <c r="D53" s="250"/>
      <c r="E53" s="250"/>
      <c r="F53" s="564"/>
      <c r="G53" s="275" t="s">
        <v>173</v>
      </c>
      <c r="H53" s="270">
        <f>IFERROR(H51+H52,"")</f>
        <v>8.4</v>
      </c>
      <c r="I53" s="270">
        <f t="shared" ref="I53:AL53" si="31">IFERROR(I51+I52,"")</f>
        <v>0</v>
      </c>
      <c r="J53" s="270">
        <f t="shared" si="31"/>
        <v>8.4</v>
      </c>
      <c r="K53" s="270">
        <f t="shared" si="31"/>
        <v>8.4</v>
      </c>
      <c r="L53" s="270">
        <f t="shared" si="31"/>
        <v>8.4</v>
      </c>
      <c r="M53" s="270">
        <f t="shared" si="31"/>
        <v>8.4</v>
      </c>
      <c r="N53" s="270">
        <f t="shared" si="31"/>
        <v>8.4</v>
      </c>
      <c r="O53" s="270">
        <f t="shared" si="31"/>
        <v>8.4</v>
      </c>
      <c r="P53" s="270">
        <f t="shared" si="31"/>
        <v>0</v>
      </c>
      <c r="Q53" s="270">
        <f t="shared" si="31"/>
        <v>8.4</v>
      </c>
      <c r="R53" s="270">
        <f t="shared" si="31"/>
        <v>8.4</v>
      </c>
      <c r="S53" s="270">
        <f t="shared" si="31"/>
        <v>8.4</v>
      </c>
      <c r="T53" s="270">
        <f t="shared" si="31"/>
        <v>8.4</v>
      </c>
      <c r="U53" s="270">
        <f t="shared" si="31"/>
        <v>8.4</v>
      </c>
      <c r="V53" s="270">
        <f t="shared" si="31"/>
        <v>8.4</v>
      </c>
      <c r="W53" s="270">
        <f t="shared" si="31"/>
        <v>0</v>
      </c>
      <c r="X53" s="270">
        <f t="shared" si="31"/>
        <v>8.4</v>
      </c>
      <c r="Y53" s="270">
        <f t="shared" si="31"/>
        <v>8.4</v>
      </c>
      <c r="Z53" s="270">
        <f t="shared" si="31"/>
        <v>8.4</v>
      </c>
      <c r="AA53" s="270">
        <f t="shared" si="31"/>
        <v>8.4</v>
      </c>
      <c r="AB53" s="270">
        <f t="shared" si="31"/>
        <v>8.4</v>
      </c>
      <c r="AC53" s="270">
        <f t="shared" si="31"/>
        <v>8.4</v>
      </c>
      <c r="AD53" s="270">
        <f t="shared" si="31"/>
        <v>0</v>
      </c>
      <c r="AE53" s="270">
        <f t="shared" si="31"/>
        <v>8.4</v>
      </c>
      <c r="AF53" s="270">
        <f t="shared" si="31"/>
        <v>8.4</v>
      </c>
      <c r="AG53" s="270">
        <f t="shared" si="31"/>
        <v>8.4</v>
      </c>
      <c r="AH53" s="270">
        <f t="shared" si="31"/>
        <v>8.4</v>
      </c>
      <c r="AI53" s="270">
        <f t="shared" si="31"/>
        <v>8.4</v>
      </c>
      <c r="AJ53" s="270">
        <f t="shared" si="31"/>
        <v>8.4</v>
      </c>
      <c r="AK53" s="270">
        <f t="shared" si="31"/>
        <v>0</v>
      </c>
      <c r="AL53" s="270" t="str">
        <f t="shared" si="31"/>
        <v/>
      </c>
      <c r="AM53" s="271">
        <f t="shared" si="20"/>
        <v>210.00000000000009</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0</v>
      </c>
      <c r="I55" s="270">
        <f t="shared" si="33"/>
        <v>0</v>
      </c>
      <c r="J55" s="270">
        <f t="shared" si="33"/>
        <v>6.72</v>
      </c>
      <c r="K55" s="270">
        <f t="shared" si="33"/>
        <v>6.72</v>
      </c>
      <c r="L55" s="270">
        <f t="shared" si="33"/>
        <v>6.72</v>
      </c>
      <c r="M55" s="270">
        <f t="shared" si="33"/>
        <v>6.72</v>
      </c>
      <c r="N55" s="270">
        <f t="shared" si="33"/>
        <v>6.72</v>
      </c>
      <c r="O55" s="270">
        <f t="shared" si="33"/>
        <v>0</v>
      </c>
      <c r="P55" s="270">
        <f t="shared" si="33"/>
        <v>0</v>
      </c>
      <c r="Q55" s="270">
        <f t="shared" si="33"/>
        <v>6.72</v>
      </c>
      <c r="R55" s="270">
        <f t="shared" si="33"/>
        <v>6.72</v>
      </c>
      <c r="S55" s="270">
        <f t="shared" si="33"/>
        <v>6.72</v>
      </c>
      <c r="T55" s="270">
        <f t="shared" si="33"/>
        <v>6.72</v>
      </c>
      <c r="U55" s="270">
        <f t="shared" si="33"/>
        <v>6.72</v>
      </c>
      <c r="V55" s="270">
        <f t="shared" si="33"/>
        <v>0</v>
      </c>
      <c r="W55" s="270">
        <f t="shared" si="33"/>
        <v>0</v>
      </c>
      <c r="X55" s="270">
        <f t="shared" si="33"/>
        <v>6.72</v>
      </c>
      <c r="Y55" s="270">
        <f t="shared" si="33"/>
        <v>6.72</v>
      </c>
      <c r="Z55" s="270">
        <f t="shared" si="33"/>
        <v>6.72</v>
      </c>
      <c r="AA55" s="270">
        <f t="shared" si="33"/>
        <v>6.72</v>
      </c>
      <c r="AB55" s="270">
        <f t="shared" si="33"/>
        <v>6.72</v>
      </c>
      <c r="AC55" s="270">
        <f t="shared" si="33"/>
        <v>0</v>
      </c>
      <c r="AD55" s="270">
        <f t="shared" si="33"/>
        <v>0</v>
      </c>
      <c r="AE55" s="270">
        <f t="shared" si="33"/>
        <v>6.72</v>
      </c>
      <c r="AF55" s="270">
        <f t="shared" si="33"/>
        <v>6.72</v>
      </c>
      <c r="AG55" s="270">
        <f t="shared" si="33"/>
        <v>6.72</v>
      </c>
      <c r="AH55" s="270">
        <f t="shared" si="33"/>
        <v>6.72</v>
      </c>
      <c r="AI55" s="270">
        <f t="shared" si="33"/>
        <v>6.72</v>
      </c>
      <c r="AJ55" s="270">
        <f t="shared" si="33"/>
        <v>0</v>
      </c>
      <c r="AK55" s="270">
        <f t="shared" si="33"/>
        <v>0</v>
      </c>
      <c r="AL55" s="270">
        <f t="shared" si="33"/>
        <v>0</v>
      </c>
      <c r="AM55" s="271">
        <f t="shared" si="20"/>
        <v>134.4</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
      </c>
      <c r="J66" s="279" t="str">
        <f t="shared" si="44"/>
        <v>8,4 TZ/FR</v>
      </c>
      <c r="K66" s="279" t="str">
        <f t="shared" si="44"/>
        <v>8,4 TZ/FR</v>
      </c>
      <c r="L66" s="279" t="str">
        <f t="shared" si="44"/>
        <v>8,4 TZ/FR</v>
      </c>
      <c r="M66" s="279" t="str">
        <f t="shared" si="44"/>
        <v>8,4 TZ/FR</v>
      </c>
      <c r="N66" s="279" t="str">
        <f t="shared" si="44"/>
        <v>8,4 TZ/FR</v>
      </c>
      <c r="O66" s="279" t="str">
        <f t="shared" si="44"/>
        <v>8,4 TZ/FR</v>
      </c>
      <c r="P66" s="279" t="str">
        <f t="shared" si="44"/>
        <v/>
      </c>
      <c r="Q66" s="279" t="str">
        <f t="shared" si="44"/>
        <v>8,4 TZ/FR</v>
      </c>
      <c r="R66" s="279" t="str">
        <f t="shared" si="44"/>
        <v>8,4 TZ/FR</v>
      </c>
      <c r="S66" s="279" t="str">
        <f t="shared" si="44"/>
        <v>8,4 TZ/FR</v>
      </c>
      <c r="T66" s="279" t="str">
        <f t="shared" si="44"/>
        <v>8,4 TZ/FR</v>
      </c>
      <c r="U66" s="279" t="str">
        <f t="shared" si="44"/>
        <v>8,4 TZ/FR</v>
      </c>
      <c r="V66" s="279" t="str">
        <f t="shared" si="44"/>
        <v>8,4 TZ/FR</v>
      </c>
      <c r="W66" s="279" t="str">
        <f t="shared" si="44"/>
        <v/>
      </c>
      <c r="X66" s="279" t="str">
        <f t="shared" si="44"/>
        <v>8,4 TZ/FR</v>
      </c>
      <c r="Y66" s="279" t="str">
        <f t="shared" si="44"/>
        <v>8,4 TZ/FR</v>
      </c>
      <c r="Z66" s="279" t="str">
        <f t="shared" si="44"/>
        <v>8,4 TZ/FR</v>
      </c>
      <c r="AA66" s="279" t="str">
        <f t="shared" si="44"/>
        <v>8,4 TZ/FR</v>
      </c>
      <c r="AB66" s="279" t="str">
        <f t="shared" si="44"/>
        <v>8,4 TZ/FR</v>
      </c>
      <c r="AC66" s="279" t="str">
        <f t="shared" si="44"/>
        <v>8,4 TZ/FR</v>
      </c>
      <c r="AD66" s="279" t="str">
        <f t="shared" si="44"/>
        <v/>
      </c>
      <c r="AE66" s="279" t="str">
        <f t="shared" si="44"/>
        <v>8,4 TZ/FR</v>
      </c>
      <c r="AF66" s="279" t="str">
        <f t="shared" si="44"/>
        <v>8,4 TZ/FR</v>
      </c>
      <c r="AG66" s="279" t="str">
        <f t="shared" si="44"/>
        <v>8,4 TZ/FR</v>
      </c>
      <c r="AH66" s="279" t="str">
        <f t="shared" si="44"/>
        <v>8,4 TZ/FR</v>
      </c>
      <c r="AI66" s="279" t="str">
        <f t="shared" si="44"/>
        <v>8,4 TZ/FR</v>
      </c>
      <c r="AJ66" s="279" t="str">
        <f t="shared" si="44"/>
        <v>8,4 TZ/FR</v>
      </c>
      <c r="AK66" s="279" t="str">
        <f t="shared" si="44"/>
        <v/>
      </c>
      <c r="AL66" s="279" t="str">
        <f t="shared" si="44"/>
        <v/>
      </c>
      <c r="AM66" s="280" t="str">
        <f>ROUND(AM52,2)&amp;" TZ/FR"</f>
        <v>168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
      </c>
      <c r="I68" s="279" t="str">
        <f t="shared" ref="I68:AL68" si="46">IF(OR(I55="",I55=0),"","FREI")</f>
        <v/>
      </c>
      <c r="J68" s="279" t="str">
        <f t="shared" si="46"/>
        <v>FREI</v>
      </c>
      <c r="K68" s="279" t="str">
        <f t="shared" si="46"/>
        <v>FREI</v>
      </c>
      <c r="L68" s="279" t="str">
        <f t="shared" si="46"/>
        <v>FREI</v>
      </c>
      <c r="M68" s="279" t="str">
        <f t="shared" si="46"/>
        <v>FREI</v>
      </c>
      <c r="N68" s="279" t="str">
        <f t="shared" si="46"/>
        <v>FREI</v>
      </c>
      <c r="O68" s="279" t="str">
        <f t="shared" si="46"/>
        <v/>
      </c>
      <c r="P68" s="279" t="str">
        <f t="shared" si="46"/>
        <v/>
      </c>
      <c r="Q68" s="279" t="str">
        <f t="shared" si="46"/>
        <v>FREI</v>
      </c>
      <c r="R68" s="279" t="str">
        <f t="shared" si="46"/>
        <v>FREI</v>
      </c>
      <c r="S68" s="279" t="str">
        <f t="shared" si="46"/>
        <v>FREI</v>
      </c>
      <c r="T68" s="279" t="str">
        <f t="shared" si="46"/>
        <v>FREI</v>
      </c>
      <c r="U68" s="279" t="str">
        <f t="shared" si="46"/>
        <v>FREI</v>
      </c>
      <c r="V68" s="279" t="str">
        <f t="shared" si="46"/>
        <v/>
      </c>
      <c r="W68" s="279" t="str">
        <f t="shared" si="46"/>
        <v/>
      </c>
      <c r="X68" s="279" t="str">
        <f t="shared" si="46"/>
        <v>FREI</v>
      </c>
      <c r="Y68" s="279" t="str">
        <f t="shared" si="46"/>
        <v>FREI</v>
      </c>
      <c r="Z68" s="279" t="str">
        <f t="shared" si="46"/>
        <v>FREI</v>
      </c>
      <c r="AA68" s="279" t="str">
        <f t="shared" si="46"/>
        <v>FREI</v>
      </c>
      <c r="AB68" s="279" t="str">
        <f t="shared" si="46"/>
        <v>FREI</v>
      </c>
      <c r="AC68" s="279" t="str">
        <f t="shared" si="46"/>
        <v/>
      </c>
      <c r="AD68" s="279" t="str">
        <f t="shared" si="46"/>
        <v/>
      </c>
      <c r="AE68" s="279" t="str">
        <f t="shared" si="46"/>
        <v>FREI</v>
      </c>
      <c r="AF68" s="279" t="str">
        <f t="shared" si="46"/>
        <v>FREI</v>
      </c>
      <c r="AG68" s="279" t="str">
        <f t="shared" si="46"/>
        <v>FREI</v>
      </c>
      <c r="AH68" s="279" t="str">
        <f t="shared" si="46"/>
        <v>FREI</v>
      </c>
      <c r="AI68" s="279" t="str">
        <f t="shared" si="46"/>
        <v>FREI</v>
      </c>
      <c r="AJ68" s="279" t="str">
        <f t="shared" si="46"/>
        <v/>
      </c>
      <c r="AK68" s="279" t="str">
        <f t="shared" si="46"/>
        <v/>
      </c>
      <c r="AL68" s="279" t="str">
        <f t="shared" si="46"/>
        <v/>
      </c>
      <c r="AM68" s="280"/>
      <c r="AN68" s="272"/>
    </row>
    <row r="69" spans="2:40" ht="12.75" hidden="1" customHeight="1" x14ac:dyDescent="0.2">
      <c r="B69" s="256"/>
      <c r="C69" s="257"/>
      <c r="D69" s="250"/>
      <c r="E69" s="250"/>
      <c r="F69" s="281"/>
      <c r="G69" s="282" t="s">
        <v>132</v>
      </c>
      <c r="H69" s="283" t="str">
        <f t="shared" ref="H69:AL69" si="47">_xlfn.TEXTJOIN(";",TRUE,H56,H57,H58,H59,H60,H61,H62,H63,H64,H68)</f>
        <v/>
      </c>
      <c r="I69" s="283" t="str">
        <f t="shared" si="47"/>
        <v/>
      </c>
      <c r="J69" s="283" t="str">
        <f t="shared" si="47"/>
        <v>FREI</v>
      </c>
      <c r="K69" s="283" t="str">
        <f t="shared" si="47"/>
        <v>FREI</v>
      </c>
      <c r="L69" s="283" t="str">
        <f>_xlfn.TEXTJOIN(";",TRUE,L56,L57,L58,L59,L60,L61,L62,L63,L64,L68)</f>
        <v>FREI</v>
      </c>
      <c r="M69" s="283" t="str">
        <f t="shared" si="47"/>
        <v>FREI</v>
      </c>
      <c r="N69" s="283" t="str">
        <f t="shared" si="47"/>
        <v>FREI</v>
      </c>
      <c r="O69" s="283" t="str">
        <f t="shared" si="47"/>
        <v/>
      </c>
      <c r="P69" s="283" t="str">
        <f t="shared" si="47"/>
        <v/>
      </c>
      <c r="Q69" s="283" t="str">
        <f t="shared" si="47"/>
        <v>FREI</v>
      </c>
      <c r="R69" s="283" t="str">
        <f t="shared" si="47"/>
        <v>FREI</v>
      </c>
      <c r="S69" s="283" t="str">
        <f t="shared" si="47"/>
        <v>FREI</v>
      </c>
      <c r="T69" s="283" t="str">
        <f t="shared" si="47"/>
        <v>FREI</v>
      </c>
      <c r="U69" s="283" t="str">
        <f t="shared" si="47"/>
        <v>FREI</v>
      </c>
      <c r="V69" s="283" t="str">
        <f t="shared" si="47"/>
        <v/>
      </c>
      <c r="W69" s="283" t="str">
        <f t="shared" si="47"/>
        <v/>
      </c>
      <c r="X69" s="283" t="str">
        <f t="shared" si="47"/>
        <v>FREI</v>
      </c>
      <c r="Y69" s="283" t="str">
        <f t="shared" si="47"/>
        <v>FREI</v>
      </c>
      <c r="Z69" s="283" t="str">
        <f t="shared" si="47"/>
        <v>FREI</v>
      </c>
      <c r="AA69" s="283" t="str">
        <f t="shared" si="47"/>
        <v>FREI</v>
      </c>
      <c r="AB69" s="283" t="str">
        <f t="shared" si="47"/>
        <v>FREI</v>
      </c>
      <c r="AC69" s="283" t="str">
        <f t="shared" si="47"/>
        <v/>
      </c>
      <c r="AD69" s="283" t="str">
        <f t="shared" si="47"/>
        <v/>
      </c>
      <c r="AE69" s="283" t="str">
        <f t="shared" si="47"/>
        <v>FREI</v>
      </c>
      <c r="AF69" s="283" t="str">
        <f t="shared" si="47"/>
        <v>FREI</v>
      </c>
      <c r="AG69" s="283" t="str">
        <f t="shared" si="47"/>
        <v>FREI</v>
      </c>
      <c r="AH69" s="283" t="str">
        <f t="shared" si="47"/>
        <v>FREI</v>
      </c>
      <c r="AI69" s="283" t="str">
        <f t="shared" si="47"/>
        <v>FREI</v>
      </c>
      <c r="AJ69" s="283" t="str">
        <f t="shared" si="47"/>
        <v/>
      </c>
      <c r="AK69" s="283" t="str">
        <f t="shared" si="47"/>
        <v/>
      </c>
      <c r="AL69" s="283" t="str">
        <f t="shared" si="47"/>
        <v/>
      </c>
      <c r="AM69" s="280"/>
      <c r="AN69" s="272"/>
    </row>
    <row r="70" spans="2:40" ht="12.75" hidden="1" customHeight="1" x14ac:dyDescent="0.2">
      <c r="B70" s="256"/>
      <c r="C70" s="257"/>
      <c r="D70" s="250"/>
      <c r="E70" s="250"/>
      <c r="F70" s="281"/>
      <c r="G70" s="278" t="s">
        <v>158</v>
      </c>
      <c r="H70" s="284" cm="1">
        <f t="array" ref="H70">IF(ISERROR(_xlfn.TEXTSPLIT(H69,,";",TRUE)),0,_xlfn.TEXTSPLIT(H69,,";",TRUE))</f>
        <v>0</v>
      </c>
      <c r="I70" s="284" cm="1">
        <f t="array" ref="I70">IF(ISERROR(_xlfn.TEXTSPLIT(I69,,";",TRUE)),0,_xlfn.TEXTSPLIT(I69,,";",TRUE))</f>
        <v>0</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cm="1">
        <f t="array" ref="O70">IF(ISERROR(_xlfn.TEXTSPLIT(O69,,";",TRUE)),0,_xlfn.TEXTSPLIT(O69,,";",TRUE))</f>
        <v>0</v>
      </c>
      <c r="P70" s="284" cm="1">
        <f t="array" ref="P70">IF(ISERROR(_xlfn.TEXTSPLIT(P69,,";",TRUE)),0,_xlfn.TEXTSPLIT(P69,,";",TRUE))</f>
        <v>0</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cm="1">
        <f t="array" ref="V70">IF(ISERROR(_xlfn.TEXTSPLIT(V69,,";",TRUE)),0,_xlfn.TEXTSPLIT(V69,,";",TRUE))</f>
        <v>0</v>
      </c>
      <c r="W70" s="284" cm="1">
        <f t="array" ref="W70">IF(ISERROR(_xlfn.TEXTSPLIT(W69,,";",TRUE)),0,_xlfn.TEXTSPLIT(W69,,";",TRUE))</f>
        <v>0</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cm="1">
        <f t="array" ref="AC70">IF(ISERROR(_xlfn.TEXTSPLIT(AC69,,";",TRUE)),0,_xlfn.TEXTSPLIT(AC69,,";",TRUE))</f>
        <v>0</v>
      </c>
      <c r="AD70" s="284" cm="1">
        <f t="array" ref="AD70">IF(ISERROR(_xlfn.TEXTSPLIT(AD69,,";",TRUE)),0,_xlfn.TEXTSPLIT(AD69,,";",TRUE))</f>
        <v>0</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cm="1">
        <f t="array" ref="AJ70">IF(ISERROR(_xlfn.TEXTSPLIT(AJ69,,";",TRUE)),0,_xlfn.TEXTSPLIT(AJ69,,";",TRUE))</f>
        <v>0</v>
      </c>
      <c r="AK70" s="284" cm="1">
        <f t="array" ref="AK70">IF(ISERROR(_xlfn.TEXTSPLIT(AK69,,";",TRUE)),0,_xlfn.TEXTSPLIT(AK69,,";",TRUE))</f>
        <v>0</v>
      </c>
      <c r="AL70" s="284" cm="1">
        <f t="array" ref="AL70">IF(ISERROR(_xlfn.TEXTSPLIT(AL69,,";",TRUE)),0,_xlfn.TEXTSPLIT(AL69,,";",TRUE))</f>
        <v>0</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-1417.9200000000046</v>
      </c>
      <c r="I74" s="289">
        <f t="shared" ref="I74:AL74" si="49">H74+I26-I14</f>
        <v>-1417.9200000000046</v>
      </c>
      <c r="J74" s="289">
        <f t="shared" si="49"/>
        <v>-1424.6400000000046</v>
      </c>
      <c r="K74" s="289">
        <f t="shared" si="49"/>
        <v>-1431.3600000000047</v>
      </c>
      <c r="L74" s="289">
        <f t="shared" si="49"/>
        <v>-1438.0800000000047</v>
      </c>
      <c r="M74" s="289">
        <f t="shared" si="49"/>
        <v>-1444.8000000000047</v>
      </c>
      <c r="N74" s="289">
        <f t="shared" si="49"/>
        <v>-1451.5200000000048</v>
      </c>
      <c r="O74" s="289">
        <f t="shared" si="49"/>
        <v>-1451.5200000000048</v>
      </c>
      <c r="P74" s="289">
        <f t="shared" si="49"/>
        <v>-1451.5200000000048</v>
      </c>
      <c r="Q74" s="289">
        <f t="shared" si="49"/>
        <v>-1458.2400000000048</v>
      </c>
      <c r="R74" s="289">
        <f t="shared" si="49"/>
        <v>-1464.9600000000048</v>
      </c>
      <c r="S74" s="289">
        <f t="shared" si="49"/>
        <v>-1471.6800000000048</v>
      </c>
      <c r="T74" s="289">
        <f t="shared" si="49"/>
        <v>-1478.4000000000049</v>
      </c>
      <c r="U74" s="289">
        <f t="shared" si="49"/>
        <v>-1485.1200000000049</v>
      </c>
      <c r="V74" s="289">
        <f t="shared" si="49"/>
        <v>-1485.1200000000049</v>
      </c>
      <c r="W74" s="289">
        <f t="shared" si="49"/>
        <v>-1485.1200000000049</v>
      </c>
      <c r="X74" s="289">
        <f t="shared" si="49"/>
        <v>-1491.8400000000049</v>
      </c>
      <c r="Y74" s="289">
        <f t="shared" si="49"/>
        <v>-1498.5600000000049</v>
      </c>
      <c r="Z74" s="289">
        <f t="shared" si="49"/>
        <v>-1505.280000000005</v>
      </c>
      <c r="AA74" s="289">
        <f t="shared" si="49"/>
        <v>-1512.000000000005</v>
      </c>
      <c r="AB74" s="289">
        <f t="shared" si="49"/>
        <v>-1518.720000000005</v>
      </c>
      <c r="AC74" s="289">
        <f t="shared" si="49"/>
        <v>-1518.720000000005</v>
      </c>
      <c r="AD74" s="289">
        <f t="shared" si="49"/>
        <v>-1518.720000000005</v>
      </c>
      <c r="AE74" s="289">
        <f t="shared" si="49"/>
        <v>-1525.4400000000051</v>
      </c>
      <c r="AF74" s="289">
        <f t="shared" si="49"/>
        <v>-1532.1600000000051</v>
      </c>
      <c r="AG74" s="289">
        <f t="shared" si="49"/>
        <v>-1538.8800000000051</v>
      </c>
      <c r="AH74" s="289">
        <f t="shared" si="49"/>
        <v>-1545.6000000000051</v>
      </c>
      <c r="AI74" s="289">
        <f t="shared" si="49"/>
        <v>-1552.3200000000052</v>
      </c>
      <c r="AJ74" s="289">
        <f t="shared" si="49"/>
        <v>-1552.3200000000052</v>
      </c>
      <c r="AK74" s="289">
        <f t="shared" si="49"/>
        <v>-1552.3200000000052</v>
      </c>
      <c r="AL74" s="289">
        <f t="shared" si="49"/>
        <v>-1552.3200000000052</v>
      </c>
      <c r="AM74" s="290">
        <f>AL74</f>
        <v>-1552.3200000000052</v>
      </c>
    </row>
    <row r="75" spans="2:40" ht="12.75" customHeight="1" x14ac:dyDescent="0.2">
      <c r="B75" s="250"/>
      <c r="C75" s="11"/>
      <c r="D75" s="250"/>
      <c r="E75" s="250"/>
      <c r="F75" s="574"/>
      <c r="G75" s="203" t="s">
        <v>71</v>
      </c>
      <c r="H75" s="291">
        <f>H74/TaginSt</f>
        <v>-168.80000000000055</v>
      </c>
      <c r="I75" s="247">
        <f t="shared" ref="I75:AL75" si="50">I74/TaginSt</f>
        <v>-168.80000000000055</v>
      </c>
      <c r="J75" s="247">
        <f t="shared" si="50"/>
        <v>-169.60000000000053</v>
      </c>
      <c r="K75" s="247">
        <f t="shared" si="50"/>
        <v>-170.40000000000055</v>
      </c>
      <c r="L75" s="247">
        <f t="shared" si="50"/>
        <v>-171.20000000000056</v>
      </c>
      <c r="M75" s="247">
        <f t="shared" si="50"/>
        <v>-172.00000000000057</v>
      </c>
      <c r="N75" s="247">
        <f t="shared" si="50"/>
        <v>-172.80000000000055</v>
      </c>
      <c r="O75" s="247">
        <f t="shared" si="50"/>
        <v>-172.80000000000055</v>
      </c>
      <c r="P75" s="247">
        <f t="shared" si="50"/>
        <v>-172.80000000000055</v>
      </c>
      <c r="Q75" s="247">
        <f t="shared" si="50"/>
        <v>-173.60000000000056</v>
      </c>
      <c r="R75" s="247">
        <f t="shared" si="50"/>
        <v>-174.40000000000057</v>
      </c>
      <c r="S75" s="247">
        <f t="shared" si="50"/>
        <v>-175.20000000000056</v>
      </c>
      <c r="T75" s="247">
        <f t="shared" si="50"/>
        <v>-176.00000000000057</v>
      </c>
      <c r="U75" s="247">
        <f t="shared" si="50"/>
        <v>-176.80000000000058</v>
      </c>
      <c r="V75" s="247">
        <f t="shared" si="50"/>
        <v>-176.80000000000058</v>
      </c>
      <c r="W75" s="247">
        <f t="shared" si="50"/>
        <v>-176.80000000000058</v>
      </c>
      <c r="X75" s="247">
        <f t="shared" si="50"/>
        <v>-177.60000000000059</v>
      </c>
      <c r="Y75" s="247">
        <f t="shared" si="50"/>
        <v>-178.40000000000057</v>
      </c>
      <c r="Z75" s="247">
        <f t="shared" si="50"/>
        <v>-179.20000000000059</v>
      </c>
      <c r="AA75" s="247">
        <f t="shared" si="50"/>
        <v>-180.0000000000006</v>
      </c>
      <c r="AB75" s="247">
        <f t="shared" si="50"/>
        <v>-180.80000000000058</v>
      </c>
      <c r="AC75" s="247">
        <f t="shared" si="50"/>
        <v>-180.80000000000058</v>
      </c>
      <c r="AD75" s="247">
        <f t="shared" si="50"/>
        <v>-180.80000000000058</v>
      </c>
      <c r="AE75" s="247">
        <f t="shared" si="50"/>
        <v>-181.60000000000059</v>
      </c>
      <c r="AF75" s="247">
        <f t="shared" si="50"/>
        <v>-182.4000000000006</v>
      </c>
      <c r="AG75" s="247">
        <f t="shared" si="50"/>
        <v>-183.20000000000061</v>
      </c>
      <c r="AH75" s="247">
        <f t="shared" si="50"/>
        <v>-184.0000000000006</v>
      </c>
      <c r="AI75" s="247">
        <f t="shared" si="50"/>
        <v>-184.80000000000061</v>
      </c>
      <c r="AJ75" s="247">
        <f t="shared" si="50"/>
        <v>-184.80000000000061</v>
      </c>
      <c r="AK75" s="247">
        <f t="shared" si="50"/>
        <v>-184.80000000000061</v>
      </c>
      <c r="AL75" s="247">
        <f t="shared" si="50"/>
        <v>-184.80000000000061</v>
      </c>
      <c r="AM75" s="292">
        <f>AL75</f>
        <v>-184.80000000000061</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m0wUNVBu6EdOZRkh4wVKmbqSpzfLBAtDruIf1ZaFpAdbaTVK2G40malB7NzrkVVxXdNzyQesf6IvfMUhUAQcxQ==" saltValue="Z1cVwiooe2cQV6bPZfydcw==" spinCount="100000" sheet="1" objects="1" scenarios="1"/>
  <mergeCells count="29">
    <mergeCell ref="AO42:AO53"/>
    <mergeCell ref="F42:F55"/>
    <mergeCell ref="F78:G78"/>
    <mergeCell ref="F14:F15"/>
    <mergeCell ref="B17:B18"/>
    <mergeCell ref="C17:C18"/>
    <mergeCell ref="F26:F28"/>
    <mergeCell ref="F30:F38"/>
    <mergeCell ref="F56:F68"/>
    <mergeCell ref="F74:F75"/>
    <mergeCell ref="F17:F24"/>
    <mergeCell ref="F41:G41"/>
    <mergeCell ref="D79:E91"/>
    <mergeCell ref="F79:G79"/>
    <mergeCell ref="F80:G80"/>
    <mergeCell ref="F81:G81"/>
    <mergeCell ref="F82:G82"/>
    <mergeCell ref="F83:G83"/>
    <mergeCell ref="F84:G84"/>
    <mergeCell ref="F85:G85"/>
    <mergeCell ref="F86:G86"/>
    <mergeCell ref="F87:G87"/>
    <mergeCell ref="F94:G94"/>
    <mergeCell ref="F88:G88"/>
    <mergeCell ref="F89:G89"/>
    <mergeCell ref="F90:G90"/>
    <mergeCell ref="F91:G91"/>
    <mergeCell ref="F92:G92"/>
    <mergeCell ref="F93:G93"/>
  </mergeCells>
  <conditionalFormatting sqref="H11:AL12">
    <cfRule type="expression" dxfId="49" priority="10">
      <formula>OR(WEEKDAY(H$12,2)=7,IF(ISERROR(VLOOKUP(H$12,Feiertagsanspruch,1,FALSE)),0,VLOOKUP(H$12,Feiertagsanspruch,1,FALSE)))</formula>
    </cfRule>
  </conditionalFormatting>
  <conditionalFormatting sqref="H17:AL24">
    <cfRule type="expression" dxfId="48" priority="11">
      <formula>OR(WEEKDAY(H$12,2)=7,IF(ISERROR(VLOOKUP(H$12,Feiertagsanspruch,1,FALSE)),0,VLOOKUP(H$12,Feiertagsanspruch,1,FALSE)))</formula>
    </cfRule>
  </conditionalFormatting>
  <conditionalFormatting sqref="H30:AL32 H35:AL38">
    <cfRule type="expression" dxfId="47" priority="4">
      <formula>H$14=0</formula>
    </cfRule>
  </conditionalFormatting>
  <conditionalFormatting sqref="H33:AL34">
    <cfRule type="expression" dxfId="46" priority="1">
      <formula>H$9=0</formula>
    </cfRule>
  </conditionalFormatting>
  <conditionalFormatting sqref="H74:AL74">
    <cfRule type="cellIs" dxfId="45" priority="8" stopIfTrue="1" operator="lessThan">
      <formula>-20</formula>
    </cfRule>
    <cfRule type="cellIs" dxfId="44" priority="9" stopIfTrue="1" operator="greaterThan">
      <formula>50</formula>
    </cfRule>
  </conditionalFormatting>
  <conditionalFormatting sqref="H75:AL75">
    <cfRule type="cellIs" dxfId="43" priority="6" stopIfTrue="1" operator="lessThan">
      <formula>-2.38095238095238</formula>
    </cfRule>
    <cfRule type="cellIs" dxfId="42" priority="7" stopIfTrue="1" operator="greaterThan">
      <formula>5.95238095238095</formula>
    </cfRule>
  </conditionalFormatting>
  <dataValidations count="13">
    <dataValidation allowBlank="1" sqref="H29:AL29" xr:uid="{7D3C42D2-BF20-4055-A2A0-818041130DC6}"/>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06D8C375-1772-408C-AEBF-D6C40AC58CF8}">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173C910E-C8C4-45E4-80A8-D8E04449796C}">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7F957B9F-6FB6-4595-8FA4-159390FE6FAF}">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5A698266-B604-4B52-B86F-CB8DA4906DBD}">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6DE76CCD-9678-4CAA-B458-A5605F79B188}">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D0ADFE5-D8D4-40E4-8EE6-76428EF7CFA1}">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29480E15-A917-4857-A23A-68E0E2060FA8}">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7F84E43F-F3D7-4D8E-917B-201E1D6FCCDB}">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98CBE70F-1303-4764-AB82-46A84BEA2A6B}">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B8E349CF-3FC3-4136-8E3B-506809EE24B8}">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852B8DF0-7D04-49C9-9D20-974822DDF9A8}">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0C137EE7-EC30-44C8-8E6B-86949CEBF89E}">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CCB0C157-2D55-4F3E-8871-1F7EB422C63D}">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5E969-5485-4945-8152-CE9063EAC9CB}">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4.2</v>
      </c>
      <c r="AF1" s="168">
        <f t="shared" si="0"/>
        <v>8.4</v>
      </c>
      <c r="AG1" s="168">
        <f t="shared" si="0"/>
        <v>8.4</v>
      </c>
      <c r="AH1" s="168">
        <f t="shared" si="0"/>
        <v>0</v>
      </c>
      <c r="AI1" s="168">
        <f t="shared" si="0"/>
        <v>0</v>
      </c>
      <c r="AJ1" s="168">
        <f t="shared" si="0"/>
        <v>0</v>
      </c>
      <c r="AK1" s="168">
        <f t="shared" si="0"/>
        <v>0</v>
      </c>
      <c r="AL1" s="168">
        <f t="shared" si="0"/>
        <v>4.2</v>
      </c>
      <c r="AM1" s="168">
        <f>SUM(H1:AL1)</f>
        <v>25.2</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3.36</v>
      </c>
      <c r="AF2" s="170">
        <f t="shared" si="1"/>
        <v>6.72</v>
      </c>
      <c r="AG2" s="170">
        <f t="shared" si="1"/>
        <v>6.72</v>
      </c>
      <c r="AH2" s="170">
        <f t="shared" si="1"/>
        <v>0</v>
      </c>
      <c r="AI2" s="170">
        <f t="shared" si="1"/>
        <v>0</v>
      </c>
      <c r="AJ2" s="170">
        <f t="shared" si="1"/>
        <v>0</v>
      </c>
      <c r="AK2" s="170">
        <f t="shared" si="1"/>
        <v>0</v>
      </c>
      <c r="AL2" s="170">
        <f t="shared" si="1"/>
        <v>3.36</v>
      </c>
      <c r="AM2" s="168">
        <f>SUM(H2:AL2)</f>
        <v>20.16</v>
      </c>
    </row>
    <row r="3" spans="2:39" hidden="1" x14ac:dyDescent="0.2">
      <c r="D3" s="166"/>
      <c r="E3" s="166"/>
      <c r="G3" s="167" t="s">
        <v>171</v>
      </c>
      <c r="H3" s="171">
        <f t="shared" ref="H3:AI3" si="2">IF(OR(WEEKDAY(H$12,2)=7,H1&gt;0),0,TaginSt-H14-H4)</f>
        <v>0</v>
      </c>
      <c r="I3" s="171">
        <f t="shared" si="2"/>
        <v>0</v>
      </c>
      <c r="J3" s="171">
        <f t="shared" si="2"/>
        <v>0</v>
      </c>
      <c r="K3" s="171">
        <f t="shared" si="2"/>
        <v>0</v>
      </c>
      <c r="L3" s="171">
        <f t="shared" si="2"/>
        <v>0</v>
      </c>
      <c r="M3" s="171">
        <f t="shared" si="2"/>
        <v>8.4</v>
      </c>
      <c r="N3" s="171">
        <f t="shared" si="2"/>
        <v>0</v>
      </c>
      <c r="O3" s="171">
        <f t="shared" si="2"/>
        <v>0</v>
      </c>
      <c r="P3" s="171">
        <f t="shared" si="2"/>
        <v>0</v>
      </c>
      <c r="Q3" s="171">
        <f t="shared" si="2"/>
        <v>0</v>
      </c>
      <c r="R3" s="171">
        <f t="shared" si="2"/>
        <v>0</v>
      </c>
      <c r="S3" s="171">
        <f t="shared" si="2"/>
        <v>0</v>
      </c>
      <c r="T3" s="171">
        <f t="shared" si="2"/>
        <v>8.4</v>
      </c>
      <c r="U3" s="171">
        <f t="shared" si="2"/>
        <v>0</v>
      </c>
      <c r="V3" s="171">
        <f t="shared" si="2"/>
        <v>0</v>
      </c>
      <c r="W3" s="171">
        <f t="shared" si="2"/>
        <v>0</v>
      </c>
      <c r="X3" s="171">
        <f t="shared" si="2"/>
        <v>0</v>
      </c>
      <c r="Y3" s="171">
        <f t="shared" si="2"/>
        <v>0</v>
      </c>
      <c r="Z3" s="171">
        <f t="shared" si="2"/>
        <v>0</v>
      </c>
      <c r="AA3" s="171">
        <f t="shared" si="2"/>
        <v>8.4</v>
      </c>
      <c r="AB3" s="171">
        <f t="shared" si="2"/>
        <v>0</v>
      </c>
      <c r="AC3" s="171">
        <f t="shared" si="2"/>
        <v>0</v>
      </c>
      <c r="AD3" s="171">
        <f t="shared" si="2"/>
        <v>0</v>
      </c>
      <c r="AE3" s="171">
        <f t="shared" si="2"/>
        <v>0</v>
      </c>
      <c r="AF3" s="171">
        <f t="shared" si="2"/>
        <v>0</v>
      </c>
      <c r="AG3" s="171">
        <f t="shared" si="2"/>
        <v>0</v>
      </c>
      <c r="AH3" s="171">
        <f t="shared" si="2"/>
        <v>8.4</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1.6800000000000006</v>
      </c>
      <c r="I4" s="170">
        <f t="shared" si="3"/>
        <v>1.6800000000000006</v>
      </c>
      <c r="J4" s="170">
        <f t="shared" si="3"/>
        <v>1.6800000000000006</v>
      </c>
      <c r="K4" s="170">
        <f t="shared" si="3"/>
        <v>1.6800000000000006</v>
      </c>
      <c r="L4" s="170">
        <f t="shared" si="3"/>
        <v>1.6800000000000006</v>
      </c>
      <c r="M4" s="170">
        <f t="shared" si="3"/>
        <v>0</v>
      </c>
      <c r="N4" s="170">
        <f t="shared" si="3"/>
        <v>0</v>
      </c>
      <c r="O4" s="170">
        <f t="shared" si="3"/>
        <v>1.6800000000000006</v>
      </c>
      <c r="P4" s="170">
        <f t="shared" si="3"/>
        <v>1.6800000000000006</v>
      </c>
      <c r="Q4" s="170">
        <f t="shared" si="3"/>
        <v>1.6800000000000006</v>
      </c>
      <c r="R4" s="170">
        <f t="shared" si="3"/>
        <v>1.6800000000000006</v>
      </c>
      <c r="S4" s="170">
        <f t="shared" si="3"/>
        <v>1.6800000000000006</v>
      </c>
      <c r="T4" s="170">
        <f t="shared" si="3"/>
        <v>0</v>
      </c>
      <c r="U4" s="170">
        <f t="shared" si="3"/>
        <v>0</v>
      </c>
      <c r="V4" s="170">
        <f t="shared" si="3"/>
        <v>1.6800000000000006</v>
      </c>
      <c r="W4" s="170">
        <f t="shared" si="3"/>
        <v>1.6800000000000006</v>
      </c>
      <c r="X4" s="170">
        <f t="shared" si="3"/>
        <v>1.6800000000000006</v>
      </c>
      <c r="Y4" s="170">
        <f t="shared" si="3"/>
        <v>1.6800000000000006</v>
      </c>
      <c r="Z4" s="170">
        <f t="shared" si="3"/>
        <v>1.6800000000000006</v>
      </c>
      <c r="AA4" s="170">
        <f t="shared" si="3"/>
        <v>0</v>
      </c>
      <c r="AB4" s="170">
        <f t="shared" si="3"/>
        <v>0</v>
      </c>
      <c r="AC4" s="170">
        <f t="shared" si="3"/>
        <v>1.6800000000000006</v>
      </c>
      <c r="AD4" s="170">
        <f t="shared" si="3"/>
        <v>1.6800000000000006</v>
      </c>
      <c r="AE4" s="170">
        <f t="shared" si="3"/>
        <v>0.8400000000000003</v>
      </c>
      <c r="AF4" s="170">
        <f t="shared" si="3"/>
        <v>0</v>
      </c>
      <c r="AG4" s="170">
        <f t="shared" si="3"/>
        <v>0</v>
      </c>
      <c r="AH4" s="170">
        <f t="shared" si="3"/>
        <v>0</v>
      </c>
      <c r="AI4" s="170">
        <f t="shared" si="3"/>
        <v>0</v>
      </c>
      <c r="AJ4" s="170">
        <f t="shared" si="3"/>
        <v>1.6800000000000006</v>
      </c>
      <c r="AK4" s="170">
        <f t="shared" si="3"/>
        <v>1.6800000000000006</v>
      </c>
      <c r="AL4" s="170">
        <f t="shared" si="3"/>
        <v>0.8400000000000003</v>
      </c>
      <c r="AM4" s="170">
        <f>SUM(H4:AL4)</f>
        <v>33.6</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1.25</v>
      </c>
      <c r="AM5" s="170"/>
    </row>
    <row r="6" spans="2:39" hidden="1" x14ac:dyDescent="0.2">
      <c r="D6" s="166"/>
      <c r="E6" s="166"/>
      <c r="F6" s="172" t="s">
        <v>7</v>
      </c>
      <c r="G6" s="173" t="s">
        <v>107</v>
      </c>
      <c r="H6" s="174">
        <f t="shared" ref="H6:AI6" si="5">IF(AND(H7=1,H9&gt;0,WEEKDAY(H12,2)&lt;6),(TaginSt-H1)/TaginSt,0)</f>
        <v>1</v>
      </c>
      <c r="I6" s="174">
        <f t="shared" si="5"/>
        <v>1</v>
      </c>
      <c r="J6" s="174">
        <f t="shared" si="5"/>
        <v>1</v>
      </c>
      <c r="K6" s="174">
        <f t="shared" si="5"/>
        <v>1</v>
      </c>
      <c r="L6" s="174">
        <f t="shared" si="5"/>
        <v>1</v>
      </c>
      <c r="M6" s="174">
        <f t="shared" si="5"/>
        <v>0</v>
      </c>
      <c r="N6" s="174">
        <f t="shared" si="5"/>
        <v>0</v>
      </c>
      <c r="O6" s="174">
        <f t="shared" si="5"/>
        <v>1</v>
      </c>
      <c r="P6" s="174">
        <f t="shared" si="5"/>
        <v>1</v>
      </c>
      <c r="Q6" s="174">
        <f t="shared" si="5"/>
        <v>1</v>
      </c>
      <c r="R6" s="174">
        <f t="shared" si="5"/>
        <v>1</v>
      </c>
      <c r="S6" s="174">
        <f t="shared" si="5"/>
        <v>1</v>
      </c>
      <c r="T6" s="174">
        <f t="shared" si="5"/>
        <v>0</v>
      </c>
      <c r="U6" s="174">
        <f t="shared" si="5"/>
        <v>0</v>
      </c>
      <c r="V6" s="174">
        <f t="shared" si="5"/>
        <v>1</v>
      </c>
      <c r="W6" s="174">
        <f t="shared" si="5"/>
        <v>1</v>
      </c>
      <c r="X6" s="174">
        <f t="shared" si="5"/>
        <v>1</v>
      </c>
      <c r="Y6" s="174">
        <f t="shared" si="5"/>
        <v>1</v>
      </c>
      <c r="Z6" s="174">
        <f t="shared" si="5"/>
        <v>1</v>
      </c>
      <c r="AA6" s="174">
        <f t="shared" si="5"/>
        <v>0</v>
      </c>
      <c r="AB6" s="174">
        <f t="shared" si="5"/>
        <v>0</v>
      </c>
      <c r="AC6" s="174">
        <f t="shared" si="5"/>
        <v>1</v>
      </c>
      <c r="AD6" s="174">
        <f t="shared" si="5"/>
        <v>1</v>
      </c>
      <c r="AE6" s="174">
        <f t="shared" si="5"/>
        <v>0.5</v>
      </c>
      <c r="AF6" s="174">
        <f t="shared" si="5"/>
        <v>0</v>
      </c>
      <c r="AG6" s="174">
        <f t="shared" si="5"/>
        <v>0</v>
      </c>
      <c r="AH6" s="174">
        <f t="shared" si="5"/>
        <v>0</v>
      </c>
      <c r="AI6" s="174">
        <f t="shared" si="5"/>
        <v>0</v>
      </c>
      <c r="AJ6" s="174">
        <f>IFERROR(IF(AND(AJ7=1,AJ9&gt;0,WEEKDAY(AJ12,2)&lt;6),(TaginSt-AJ1)/TaginSt,0),0)</f>
        <v>1</v>
      </c>
      <c r="AK6" s="174">
        <f>IFERROR(IF(AND(AK7=1,AK9&gt;0,WEEKDAY(AK12,2)&lt;6),(TaginSt-AK1)/TaginSt,0),0)</f>
        <v>1</v>
      </c>
      <c r="AL6" s="174">
        <f>IFERROR(IF(AND(AL7=1,AL9&gt;0,WEEKDAY(AL12,2)&lt;6),(TaginSt-AL1)/TaginSt,0),0)</f>
        <v>0.5</v>
      </c>
      <c r="AM6" s="175"/>
    </row>
    <row r="7" spans="2:39" hidden="1" x14ac:dyDescent="0.2">
      <c r="F7" s="176">
        <v>12</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80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Dezember</v>
      </c>
      <c r="C11" s="184">
        <f>Jahr</f>
        <v>2025</v>
      </c>
      <c r="D11" s="166"/>
      <c r="E11" s="166"/>
      <c r="F11" s="185"/>
      <c r="G11" s="186"/>
      <c r="H11" s="187" t="str">
        <f>TEXT(H12,"TTT")</f>
        <v>Mo</v>
      </c>
      <c r="I11" s="188" t="str">
        <f>TEXT(I12,"TTT")</f>
        <v>Di</v>
      </c>
      <c r="J11" s="188" t="str">
        <f t="shared" ref="J11:L11" si="8">TEXT(J12,"TTT")</f>
        <v>Mi</v>
      </c>
      <c r="K11" s="188" t="str">
        <f t="shared" si="8"/>
        <v>Do</v>
      </c>
      <c r="L11" s="188" t="str">
        <f t="shared" si="8"/>
        <v>Fr</v>
      </c>
      <c r="M11" s="188" t="str">
        <f>TEXT(M12,"TTT")</f>
        <v>Sa</v>
      </c>
      <c r="N11" s="188" t="str">
        <f t="shared" ref="N11:AL11" si="9">TEXT(N12,"TTT")</f>
        <v>So</v>
      </c>
      <c r="O11" s="188" t="str">
        <f t="shared" si="9"/>
        <v>Mo</v>
      </c>
      <c r="P11" s="188" t="str">
        <f t="shared" si="9"/>
        <v>Di</v>
      </c>
      <c r="Q11" s="188" t="str">
        <f t="shared" si="9"/>
        <v>Mi</v>
      </c>
      <c r="R11" s="188" t="str">
        <f t="shared" si="9"/>
        <v>Do</v>
      </c>
      <c r="S11" s="188" t="str">
        <f t="shared" si="9"/>
        <v>Fr</v>
      </c>
      <c r="T11" s="188" t="str">
        <f t="shared" si="9"/>
        <v>Sa</v>
      </c>
      <c r="U11" s="188" t="str">
        <f t="shared" si="9"/>
        <v>So</v>
      </c>
      <c r="V11" s="188" t="str">
        <f t="shared" si="9"/>
        <v>Mo</v>
      </c>
      <c r="W11" s="188" t="str">
        <f t="shared" si="9"/>
        <v>Di</v>
      </c>
      <c r="X11" s="188" t="str">
        <f t="shared" si="9"/>
        <v>Mi</v>
      </c>
      <c r="Y11" s="188" t="str">
        <f t="shared" si="9"/>
        <v>Do</v>
      </c>
      <c r="Z11" s="188" t="str">
        <f t="shared" si="9"/>
        <v>Fr</v>
      </c>
      <c r="AA11" s="188" t="str">
        <f t="shared" si="9"/>
        <v>Sa</v>
      </c>
      <c r="AB11" s="188" t="str">
        <f t="shared" si="9"/>
        <v>So</v>
      </c>
      <c r="AC11" s="188" t="str">
        <f t="shared" si="9"/>
        <v>Mo</v>
      </c>
      <c r="AD11" s="188" t="str">
        <f t="shared" si="9"/>
        <v>Di</v>
      </c>
      <c r="AE11" s="188" t="str">
        <f t="shared" si="9"/>
        <v>Mi</v>
      </c>
      <c r="AF11" s="188" t="str">
        <f t="shared" si="9"/>
        <v>Do</v>
      </c>
      <c r="AG11" s="188" t="str">
        <f t="shared" si="9"/>
        <v>Fr</v>
      </c>
      <c r="AH11" s="188" t="str">
        <f t="shared" si="9"/>
        <v>Sa</v>
      </c>
      <c r="AI11" s="188" t="str">
        <f t="shared" si="9"/>
        <v>So</v>
      </c>
      <c r="AJ11" s="188" t="str">
        <f t="shared" si="9"/>
        <v>Mo</v>
      </c>
      <c r="AK11" s="188" t="str">
        <f t="shared" si="9"/>
        <v>Di</v>
      </c>
      <c r="AL11" s="188" t="str">
        <f t="shared" si="9"/>
        <v>Mi</v>
      </c>
      <c r="AM11" s="188"/>
    </row>
    <row r="12" spans="2:39" ht="12.75" customHeight="1" thickBot="1" x14ac:dyDescent="0.25">
      <c r="B12" s="189" t="str">
        <f>Pfarrer</f>
        <v>Heinz Muster</v>
      </c>
      <c r="C12" s="190"/>
      <c r="D12" s="191"/>
      <c r="E12" s="191"/>
      <c r="F12" s="185"/>
      <c r="G12" s="192" t="s">
        <v>2</v>
      </c>
      <c r="H12" s="193">
        <f>DATE(C11,F7,1)</f>
        <v>44530</v>
      </c>
      <c r="I12" s="194">
        <f>DATE(C11,F7,2)</f>
        <v>44531</v>
      </c>
      <c r="J12" s="194">
        <f>DATE(C11,F7,3)</f>
        <v>44532</v>
      </c>
      <c r="K12" s="194">
        <f>DATE(C11,F7,4)</f>
        <v>44533</v>
      </c>
      <c r="L12" s="194">
        <f>DATE(C11,F7,5)</f>
        <v>44534</v>
      </c>
      <c r="M12" s="194">
        <f>DATE(C11,F7,6)</f>
        <v>44535</v>
      </c>
      <c r="N12" s="194">
        <f>DATE(C11,F7,7)</f>
        <v>44536</v>
      </c>
      <c r="O12" s="194">
        <f>DATE(C11,F7,8)</f>
        <v>44537</v>
      </c>
      <c r="P12" s="194">
        <f>DATE(C11,F7,9)</f>
        <v>44538</v>
      </c>
      <c r="Q12" s="194">
        <f>DATE(C11,F7,10)</f>
        <v>44539</v>
      </c>
      <c r="R12" s="194">
        <f>DATE(C11,F7,11)</f>
        <v>44540</v>
      </c>
      <c r="S12" s="194">
        <f>DATE(C11,F7,12)</f>
        <v>44541</v>
      </c>
      <c r="T12" s="194">
        <f>DATE(C11,F7,13)</f>
        <v>44542</v>
      </c>
      <c r="U12" s="194">
        <f>DATE(C11,F7,14)</f>
        <v>44543</v>
      </c>
      <c r="V12" s="194">
        <f>DATE(C11,F7,15)</f>
        <v>44544</v>
      </c>
      <c r="W12" s="194">
        <f>DATE(C11,F7,16)</f>
        <v>44545</v>
      </c>
      <c r="X12" s="194">
        <f>DATE(C11,F7,17)</f>
        <v>44546</v>
      </c>
      <c r="Y12" s="194">
        <f>DATE(C11,F7,18)</f>
        <v>44547</v>
      </c>
      <c r="Z12" s="194">
        <f>DATE(C11,F7,19)</f>
        <v>44548</v>
      </c>
      <c r="AA12" s="194">
        <f>DATE(C11,F7,20)</f>
        <v>44549</v>
      </c>
      <c r="AB12" s="194">
        <f>DATE(C11,F7,21)</f>
        <v>44550</v>
      </c>
      <c r="AC12" s="194">
        <f>DATE(C11,F7,22)</f>
        <v>44551</v>
      </c>
      <c r="AD12" s="194">
        <f>DATE(C11,F7,23)</f>
        <v>44552</v>
      </c>
      <c r="AE12" s="194">
        <f>DATE(C11,F7,24)</f>
        <v>44553</v>
      </c>
      <c r="AF12" s="194">
        <f>DATE(C11,F7,25)</f>
        <v>44554</v>
      </c>
      <c r="AG12" s="194">
        <f>DATE(C11,F7,26)</f>
        <v>44555</v>
      </c>
      <c r="AH12" s="194">
        <f>DATE(C11,F7,27)</f>
        <v>44556</v>
      </c>
      <c r="AI12" s="194">
        <f>DATE(C11,F7,28)</f>
        <v>44557</v>
      </c>
      <c r="AJ12" s="194">
        <f>IFERROR(IF(MONTH(AI12+1)=MONTH($H$12),AI$12+1,""),"")</f>
        <v>44558</v>
      </c>
      <c r="AK12" s="194">
        <f>IFERROR(IF(MONTH(AJ12+1)=MONTH($H$12),AJ$12+1,""),"")</f>
        <v>44559</v>
      </c>
      <c r="AL12" s="194">
        <f>IFERROR(IF(MONTH(AK12+1)=MONTH($H$12),AK$12+1,""),"")</f>
        <v>44560</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6.72</v>
      </c>
      <c r="I14" s="204">
        <f t="shared" si="10"/>
        <v>6.72</v>
      </c>
      <c r="J14" s="204">
        <f t="shared" si="10"/>
        <v>6.72</v>
      </c>
      <c r="K14" s="204">
        <f t="shared" si="10"/>
        <v>6.72</v>
      </c>
      <c r="L14" s="204">
        <f t="shared" si="10"/>
        <v>6.72</v>
      </c>
      <c r="M14" s="204">
        <f t="shared" si="10"/>
        <v>0</v>
      </c>
      <c r="N14" s="204">
        <f t="shared" si="10"/>
        <v>0</v>
      </c>
      <c r="O14" s="204">
        <f t="shared" si="10"/>
        <v>6.72</v>
      </c>
      <c r="P14" s="204">
        <f t="shared" si="10"/>
        <v>6.72</v>
      </c>
      <c r="Q14" s="204">
        <f t="shared" si="10"/>
        <v>6.72</v>
      </c>
      <c r="R14" s="204">
        <f t="shared" si="10"/>
        <v>6.72</v>
      </c>
      <c r="S14" s="204">
        <f t="shared" si="10"/>
        <v>6.72</v>
      </c>
      <c r="T14" s="204">
        <f t="shared" si="10"/>
        <v>0</v>
      </c>
      <c r="U14" s="204">
        <f t="shared" si="10"/>
        <v>0</v>
      </c>
      <c r="V14" s="204">
        <f t="shared" si="10"/>
        <v>6.72</v>
      </c>
      <c r="W14" s="204">
        <f t="shared" si="10"/>
        <v>6.72</v>
      </c>
      <c r="X14" s="204">
        <f t="shared" si="10"/>
        <v>6.72</v>
      </c>
      <c r="Y14" s="204">
        <f t="shared" si="10"/>
        <v>6.72</v>
      </c>
      <c r="Z14" s="204">
        <f t="shared" si="10"/>
        <v>6.72</v>
      </c>
      <c r="AA14" s="204">
        <f t="shared" si="10"/>
        <v>0</v>
      </c>
      <c r="AB14" s="204">
        <f t="shared" si="10"/>
        <v>0</v>
      </c>
      <c r="AC14" s="204">
        <f t="shared" si="10"/>
        <v>6.72</v>
      </c>
      <c r="AD14" s="204">
        <f t="shared" si="10"/>
        <v>6.72</v>
      </c>
      <c r="AE14" s="204">
        <f t="shared" si="10"/>
        <v>3.36</v>
      </c>
      <c r="AF14" s="204">
        <f t="shared" si="10"/>
        <v>0</v>
      </c>
      <c r="AG14" s="204">
        <f t="shared" si="10"/>
        <v>0</v>
      </c>
      <c r="AH14" s="204">
        <f t="shared" si="10"/>
        <v>0</v>
      </c>
      <c r="AI14" s="204">
        <f t="shared" si="10"/>
        <v>0</v>
      </c>
      <c r="AJ14" s="204">
        <f>IFERROR(IF(OR(WEEKDAY(AJ12,2)&gt;=6,AJ7=0),0,(TaginSt-AJ1)*AJ9/100),0)</f>
        <v>6.72</v>
      </c>
      <c r="AK14" s="204">
        <f>IFERROR(IF(OR(WEEKDAY(AK12,2)&gt;=6,AK7=0),0,(TaginSt-AK1)*AK9/100),0)</f>
        <v>6.72</v>
      </c>
      <c r="AL14" s="204">
        <f>IFERROR(IF(OR(WEEKDAY(AL12,2)&gt;=6,AL7=0),0,(TaginSt-AL1)*AL9/100),0)</f>
        <v>3.36</v>
      </c>
      <c r="AM14" s="205">
        <f>SUM(H14:AL14)</f>
        <v>134.4</v>
      </c>
    </row>
    <row r="15" spans="2:39" ht="12.75" customHeight="1" x14ac:dyDescent="0.2">
      <c r="D15" s="202"/>
      <c r="E15" s="202"/>
      <c r="F15" s="566"/>
      <c r="G15" s="203" t="s">
        <v>136</v>
      </c>
      <c r="H15" s="204">
        <f t="shared" ref="H15:AL15" si="11">H14/TaginSt</f>
        <v>0.79999999999999993</v>
      </c>
      <c r="I15" s="206">
        <f t="shared" si="11"/>
        <v>0.79999999999999993</v>
      </c>
      <c r="J15" s="206">
        <f t="shared" si="11"/>
        <v>0.79999999999999993</v>
      </c>
      <c r="K15" s="206">
        <f t="shared" si="11"/>
        <v>0.79999999999999993</v>
      </c>
      <c r="L15" s="206">
        <f t="shared" si="11"/>
        <v>0.79999999999999993</v>
      </c>
      <c r="M15" s="206">
        <f t="shared" si="11"/>
        <v>0</v>
      </c>
      <c r="N15" s="206">
        <f t="shared" si="11"/>
        <v>0</v>
      </c>
      <c r="O15" s="206">
        <f t="shared" si="11"/>
        <v>0.79999999999999993</v>
      </c>
      <c r="P15" s="206">
        <f t="shared" si="11"/>
        <v>0.79999999999999993</v>
      </c>
      <c r="Q15" s="206">
        <f t="shared" si="11"/>
        <v>0.79999999999999993</v>
      </c>
      <c r="R15" s="206">
        <f t="shared" si="11"/>
        <v>0.79999999999999993</v>
      </c>
      <c r="S15" s="206">
        <f t="shared" si="11"/>
        <v>0.79999999999999993</v>
      </c>
      <c r="T15" s="206">
        <f t="shared" si="11"/>
        <v>0</v>
      </c>
      <c r="U15" s="206">
        <f t="shared" si="11"/>
        <v>0</v>
      </c>
      <c r="V15" s="206">
        <f t="shared" si="11"/>
        <v>0.79999999999999993</v>
      </c>
      <c r="W15" s="206">
        <f t="shared" si="11"/>
        <v>0.79999999999999993</v>
      </c>
      <c r="X15" s="206">
        <f t="shared" si="11"/>
        <v>0.79999999999999993</v>
      </c>
      <c r="Y15" s="206">
        <f t="shared" si="11"/>
        <v>0.79999999999999993</v>
      </c>
      <c r="Z15" s="206">
        <f t="shared" si="11"/>
        <v>0.79999999999999993</v>
      </c>
      <c r="AA15" s="206">
        <f t="shared" si="11"/>
        <v>0</v>
      </c>
      <c r="AB15" s="206">
        <f t="shared" si="11"/>
        <v>0</v>
      </c>
      <c r="AC15" s="206">
        <f t="shared" si="11"/>
        <v>0.79999999999999993</v>
      </c>
      <c r="AD15" s="206">
        <f t="shared" si="11"/>
        <v>0.79999999999999993</v>
      </c>
      <c r="AE15" s="206">
        <f t="shared" si="11"/>
        <v>0.39999999999999997</v>
      </c>
      <c r="AF15" s="206">
        <f t="shared" si="11"/>
        <v>0</v>
      </c>
      <c r="AG15" s="206">
        <f t="shared" si="11"/>
        <v>0</v>
      </c>
      <c r="AH15" s="206">
        <f t="shared" si="11"/>
        <v>0</v>
      </c>
      <c r="AI15" s="206">
        <f t="shared" si="11"/>
        <v>0</v>
      </c>
      <c r="AJ15" s="206">
        <f t="shared" si="11"/>
        <v>0.79999999999999993</v>
      </c>
      <c r="AK15" s="206">
        <f t="shared" si="11"/>
        <v>0.79999999999999993</v>
      </c>
      <c r="AL15" s="206">
        <f t="shared" si="11"/>
        <v>0.39999999999999997</v>
      </c>
      <c r="AM15" s="205">
        <f>SUM(H15:AL15)</f>
        <v>16.000000000000004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SaldoStdEndeNov</f>
        <v>-1552.3200000000052</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B20" s="9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Nov!C23-AM42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GuthLangzeitAnfJahrinStunden-AM50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0</v>
      </c>
      <c r="I39" s="263">
        <f t="shared" si="16"/>
        <v>0</v>
      </c>
      <c r="J39" s="263">
        <f t="shared" si="16"/>
        <v>0</v>
      </c>
      <c r="K39" s="263">
        <f t="shared" si="16"/>
        <v>0</v>
      </c>
      <c r="L39" s="263">
        <f>IF(ISERROR(L51/TaginSt),0,L51/TaginSt)</f>
        <v>0</v>
      </c>
      <c r="M39" s="263">
        <f t="shared" si="16"/>
        <v>1</v>
      </c>
      <c r="N39" s="263">
        <f t="shared" si="16"/>
        <v>0</v>
      </c>
      <c r="O39" s="263">
        <f t="shared" si="16"/>
        <v>0</v>
      </c>
      <c r="P39" s="263">
        <f t="shared" si="16"/>
        <v>0</v>
      </c>
      <c r="Q39" s="263">
        <f t="shared" si="16"/>
        <v>0</v>
      </c>
      <c r="R39" s="263">
        <f t="shared" si="16"/>
        <v>0</v>
      </c>
      <c r="S39" s="263">
        <f t="shared" si="16"/>
        <v>0</v>
      </c>
      <c r="T39" s="263">
        <f t="shared" si="16"/>
        <v>1</v>
      </c>
      <c r="U39" s="263">
        <f t="shared" si="16"/>
        <v>0</v>
      </c>
      <c r="V39" s="263">
        <f t="shared" si="16"/>
        <v>0</v>
      </c>
      <c r="W39" s="263">
        <f t="shared" si="16"/>
        <v>0</v>
      </c>
      <c r="X39" s="263">
        <f t="shared" si="16"/>
        <v>0</v>
      </c>
      <c r="Y39" s="263">
        <f t="shared" si="16"/>
        <v>0</v>
      </c>
      <c r="Z39" s="263">
        <f t="shared" si="16"/>
        <v>0</v>
      </c>
      <c r="AA39" s="263">
        <f t="shared" si="16"/>
        <v>1</v>
      </c>
      <c r="AB39" s="263">
        <f t="shared" si="16"/>
        <v>0</v>
      </c>
      <c r="AC39" s="263">
        <f t="shared" si="16"/>
        <v>0</v>
      </c>
      <c r="AD39" s="263">
        <f t="shared" si="16"/>
        <v>0</v>
      </c>
      <c r="AE39" s="263">
        <f t="shared" si="16"/>
        <v>0</v>
      </c>
      <c r="AF39" s="263">
        <f t="shared" si="16"/>
        <v>0</v>
      </c>
      <c r="AG39" s="263">
        <f t="shared" si="16"/>
        <v>0</v>
      </c>
      <c r="AH39" s="263">
        <f t="shared" si="16"/>
        <v>1</v>
      </c>
      <c r="AI39" s="263">
        <f t="shared" si="16"/>
        <v>0</v>
      </c>
      <c r="AJ39" s="263">
        <f t="shared" si="16"/>
        <v>0</v>
      </c>
      <c r="AK39" s="263">
        <f t="shared" si="16"/>
        <v>0</v>
      </c>
      <c r="AL39" s="263">
        <f t="shared" si="16"/>
        <v>0</v>
      </c>
      <c r="AM39" s="264">
        <f>SUM(H39:AL39)</f>
        <v>4</v>
      </c>
      <c r="AN39" s="265"/>
    </row>
    <row r="40" spans="2:43" ht="12.75" customHeight="1" x14ac:dyDescent="0.2">
      <c r="D40" s="250"/>
      <c r="E40" s="250"/>
      <c r="F40" s="459" t="s">
        <v>267</v>
      </c>
      <c r="G40" s="266" t="s">
        <v>188</v>
      </c>
      <c r="H40" s="263">
        <f t="shared" si="16"/>
        <v>1</v>
      </c>
      <c r="I40" s="263">
        <f t="shared" si="16"/>
        <v>1</v>
      </c>
      <c r="J40" s="263">
        <f>IF(ISERROR(J52/TaginSt),0,J52/TaginSt)</f>
        <v>1</v>
      </c>
      <c r="K40" s="263">
        <f t="shared" si="16"/>
        <v>1</v>
      </c>
      <c r="L40" s="263">
        <f t="shared" si="16"/>
        <v>1</v>
      </c>
      <c r="M40" s="263">
        <f t="shared" si="16"/>
        <v>0</v>
      </c>
      <c r="N40" s="263">
        <f t="shared" si="16"/>
        <v>0</v>
      </c>
      <c r="O40" s="263">
        <f t="shared" si="16"/>
        <v>1</v>
      </c>
      <c r="P40" s="263">
        <f t="shared" si="16"/>
        <v>1</v>
      </c>
      <c r="Q40" s="263">
        <f t="shared" si="16"/>
        <v>1</v>
      </c>
      <c r="R40" s="263">
        <f t="shared" si="16"/>
        <v>1</v>
      </c>
      <c r="S40" s="263">
        <f t="shared" si="16"/>
        <v>1</v>
      </c>
      <c r="T40" s="263">
        <f t="shared" si="16"/>
        <v>0</v>
      </c>
      <c r="U40" s="263">
        <f t="shared" si="16"/>
        <v>0</v>
      </c>
      <c r="V40" s="263">
        <f t="shared" si="16"/>
        <v>1</v>
      </c>
      <c r="W40" s="263">
        <f t="shared" si="16"/>
        <v>1</v>
      </c>
      <c r="X40" s="263">
        <f t="shared" si="16"/>
        <v>1</v>
      </c>
      <c r="Y40" s="263">
        <f t="shared" si="16"/>
        <v>1</v>
      </c>
      <c r="Z40" s="263">
        <f t="shared" si="16"/>
        <v>1</v>
      </c>
      <c r="AA40" s="263">
        <f t="shared" si="16"/>
        <v>0</v>
      </c>
      <c r="AB40" s="263">
        <f t="shared" si="16"/>
        <v>0</v>
      </c>
      <c r="AC40" s="263">
        <f t="shared" si="16"/>
        <v>1</v>
      </c>
      <c r="AD40" s="263">
        <f t="shared" si="16"/>
        <v>1</v>
      </c>
      <c r="AE40" s="263">
        <f t="shared" si="16"/>
        <v>0.5</v>
      </c>
      <c r="AF40" s="263">
        <f t="shared" si="16"/>
        <v>0</v>
      </c>
      <c r="AG40" s="263">
        <f t="shared" si="16"/>
        <v>0</v>
      </c>
      <c r="AH40" s="263">
        <f t="shared" si="16"/>
        <v>0</v>
      </c>
      <c r="AI40" s="263">
        <f t="shared" si="16"/>
        <v>0</v>
      </c>
      <c r="AJ40" s="263">
        <f t="shared" si="16"/>
        <v>1</v>
      </c>
      <c r="AK40" s="263">
        <f t="shared" si="16"/>
        <v>1</v>
      </c>
      <c r="AL40" s="263">
        <f t="shared" si="16"/>
        <v>0.5</v>
      </c>
      <c r="AM40" s="264">
        <f>SUM(H40:AL40)</f>
        <v>20</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AG30*TaginSt*AG$9/100</f>
        <v>0</v>
      </c>
      <c r="AH42" s="270">
        <f>AH30*TaginSt*AH$9/100</f>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0</v>
      </c>
      <c r="I51" s="270">
        <f t="shared" si="29"/>
        <v>0</v>
      </c>
      <c r="J51" s="270">
        <f t="shared" si="29"/>
        <v>0</v>
      </c>
      <c r="K51" s="270">
        <f t="shared" si="29"/>
        <v>0</v>
      </c>
      <c r="L51" s="270">
        <f t="shared" si="29"/>
        <v>0</v>
      </c>
      <c r="M51" s="270">
        <f t="shared" si="29"/>
        <v>8.4</v>
      </c>
      <c r="N51" s="270">
        <f t="shared" si="29"/>
        <v>0</v>
      </c>
      <c r="O51" s="270">
        <f t="shared" si="29"/>
        <v>0</v>
      </c>
      <c r="P51" s="270">
        <f t="shared" si="29"/>
        <v>0</v>
      </c>
      <c r="Q51" s="270">
        <f t="shared" si="29"/>
        <v>0</v>
      </c>
      <c r="R51" s="270">
        <f t="shared" si="29"/>
        <v>0</v>
      </c>
      <c r="S51" s="270">
        <f t="shared" si="29"/>
        <v>0</v>
      </c>
      <c r="T51" s="270">
        <f t="shared" si="29"/>
        <v>8.4</v>
      </c>
      <c r="U51" s="270">
        <f t="shared" si="29"/>
        <v>0</v>
      </c>
      <c r="V51" s="270">
        <f t="shared" si="29"/>
        <v>0</v>
      </c>
      <c r="W51" s="270">
        <f t="shared" si="29"/>
        <v>0</v>
      </c>
      <c r="X51" s="270">
        <f t="shared" si="29"/>
        <v>0</v>
      </c>
      <c r="Y51" s="270">
        <f t="shared" si="29"/>
        <v>0</v>
      </c>
      <c r="Z51" s="270">
        <f t="shared" si="29"/>
        <v>0</v>
      </c>
      <c r="AA51" s="270">
        <f t="shared" si="29"/>
        <v>8.4</v>
      </c>
      <c r="AB51" s="270">
        <f t="shared" si="29"/>
        <v>0</v>
      </c>
      <c r="AC51" s="270">
        <f t="shared" si="29"/>
        <v>0</v>
      </c>
      <c r="AD51" s="270">
        <f t="shared" si="29"/>
        <v>0</v>
      </c>
      <c r="AE51" s="270">
        <f t="shared" si="29"/>
        <v>0</v>
      </c>
      <c r="AF51" s="270">
        <f t="shared" si="29"/>
        <v>0</v>
      </c>
      <c r="AG51" s="270">
        <f t="shared" si="29"/>
        <v>0</v>
      </c>
      <c r="AH51" s="270">
        <f t="shared" si="29"/>
        <v>8.4</v>
      </c>
      <c r="AI51" s="270">
        <f t="shared" si="29"/>
        <v>0</v>
      </c>
      <c r="AJ51" s="270">
        <f>IFERROR(IF(OR(AJ3&gt;0,AND(AJ9=100,OR(WEEKDAY(AJ12,2)&lt;7,AJ1&gt;0))),AJ3+AJ14-AJ26,0),"")</f>
        <v>0</v>
      </c>
      <c r="AK51" s="270">
        <f>IFERROR(IF(OR(AK3&gt;0,AND(AK9=100,OR(WEEKDAY(AK12,2)&lt;7,AK1&gt;0))),AK3+AK14-AK26,0),"")</f>
        <v>0</v>
      </c>
      <c r="AL51" s="270">
        <f>IFERROR(IF(OR(AL3&gt;0,AND(AL9=100,OR(WEEKDAY(AL12,2)&lt;7,AL1&gt;0))),AL3+AL14-AL26,0),"")</f>
        <v>0</v>
      </c>
      <c r="AM51" s="271">
        <f t="shared" si="20"/>
        <v>33.6</v>
      </c>
      <c r="AN51" s="272"/>
      <c r="AO51" s="562"/>
    </row>
    <row r="52" spans="2:41" ht="12.75" hidden="1" customHeight="1" x14ac:dyDescent="0.2">
      <c r="B52" s="256"/>
      <c r="C52" s="257"/>
      <c r="D52" s="250"/>
      <c r="E52" s="250"/>
      <c r="F52" s="564"/>
      <c r="G52" s="269" t="s">
        <v>170</v>
      </c>
      <c r="H52" s="270">
        <f t="shared" ref="H52:AI52" si="30">IF(H4&gt;0,IF(AND(H1&gt;0,H14+H4-H26&lt;=H4),H4,H14+H4-H26),0)</f>
        <v>8.4</v>
      </c>
      <c r="I52" s="270">
        <f t="shared" si="30"/>
        <v>8.4</v>
      </c>
      <c r="J52" s="270">
        <f t="shared" si="30"/>
        <v>8.4</v>
      </c>
      <c r="K52" s="270">
        <f t="shared" si="30"/>
        <v>8.4</v>
      </c>
      <c r="L52" s="270">
        <f t="shared" si="30"/>
        <v>8.4</v>
      </c>
      <c r="M52" s="270">
        <f t="shared" si="30"/>
        <v>0</v>
      </c>
      <c r="N52" s="270">
        <f t="shared" si="30"/>
        <v>0</v>
      </c>
      <c r="O52" s="270">
        <f t="shared" si="30"/>
        <v>8.4</v>
      </c>
      <c r="P52" s="270">
        <f t="shared" si="30"/>
        <v>8.4</v>
      </c>
      <c r="Q52" s="270">
        <f t="shared" si="30"/>
        <v>8.4</v>
      </c>
      <c r="R52" s="270">
        <f t="shared" si="30"/>
        <v>8.4</v>
      </c>
      <c r="S52" s="270">
        <f t="shared" si="30"/>
        <v>8.4</v>
      </c>
      <c r="T52" s="270">
        <f t="shared" si="30"/>
        <v>0</v>
      </c>
      <c r="U52" s="270">
        <f t="shared" si="30"/>
        <v>0</v>
      </c>
      <c r="V52" s="270">
        <f t="shared" si="30"/>
        <v>8.4</v>
      </c>
      <c r="W52" s="270">
        <f t="shared" si="30"/>
        <v>8.4</v>
      </c>
      <c r="X52" s="270">
        <f t="shared" si="30"/>
        <v>8.4</v>
      </c>
      <c r="Y52" s="270">
        <f t="shared" si="30"/>
        <v>8.4</v>
      </c>
      <c r="Z52" s="270">
        <f t="shared" si="30"/>
        <v>8.4</v>
      </c>
      <c r="AA52" s="270">
        <f t="shared" si="30"/>
        <v>0</v>
      </c>
      <c r="AB52" s="270">
        <f t="shared" si="30"/>
        <v>0</v>
      </c>
      <c r="AC52" s="270">
        <f t="shared" si="30"/>
        <v>8.4</v>
      </c>
      <c r="AD52" s="270">
        <f t="shared" si="30"/>
        <v>8.4</v>
      </c>
      <c r="AE52" s="270">
        <f t="shared" si="30"/>
        <v>4.2</v>
      </c>
      <c r="AF52" s="270">
        <f t="shared" si="30"/>
        <v>0</v>
      </c>
      <c r="AG52" s="270">
        <f t="shared" si="30"/>
        <v>0</v>
      </c>
      <c r="AH52" s="270">
        <f t="shared" si="30"/>
        <v>0</v>
      </c>
      <c r="AI52" s="270">
        <f t="shared" si="30"/>
        <v>0</v>
      </c>
      <c r="AJ52" s="270">
        <f>IFERROR(IF(AJ4&gt;0,IF(AND(AJ1&gt;0,AJ14+AJ4-AJ26&lt;=AJ4),AJ4,AJ14+AJ4-AJ26),0),"")</f>
        <v>8.4</v>
      </c>
      <c r="AK52" s="270">
        <f>IFERROR(IF(AK4&gt;0,IF(AND(AK1&gt;0,AK14+AK4-AK26&lt;=AK4),AK4,AK14+AK4-AK26),0),"")</f>
        <v>8.4</v>
      </c>
      <c r="AL52" s="270">
        <f>IFERROR(IF(AL4&gt;0,IF(AND(AL1&gt;0,AL14+AL4-AL26&lt;=AL4),AL4,AL14+AL4-AL26),0),"")</f>
        <v>4.2</v>
      </c>
      <c r="AM52" s="271">
        <f t="shared" si="20"/>
        <v>168.00000000000003</v>
      </c>
      <c r="AN52" s="272"/>
      <c r="AO52" s="562"/>
    </row>
    <row r="53" spans="2:41" ht="12.75" hidden="1" customHeight="1" x14ac:dyDescent="0.2">
      <c r="B53" s="256"/>
      <c r="C53" s="257"/>
      <c r="D53" s="250"/>
      <c r="E53" s="250"/>
      <c r="F53" s="564"/>
      <c r="G53" s="275" t="s">
        <v>173</v>
      </c>
      <c r="H53" s="270">
        <f>IFERROR(H51+H52,"")</f>
        <v>8.4</v>
      </c>
      <c r="I53" s="270">
        <f t="shared" ref="I53:AL53" si="31">IFERROR(I51+I52,"")</f>
        <v>8.4</v>
      </c>
      <c r="J53" s="270">
        <f t="shared" si="31"/>
        <v>8.4</v>
      </c>
      <c r="K53" s="270">
        <f t="shared" si="31"/>
        <v>8.4</v>
      </c>
      <c r="L53" s="270">
        <f t="shared" si="31"/>
        <v>8.4</v>
      </c>
      <c r="M53" s="270">
        <f t="shared" si="31"/>
        <v>8.4</v>
      </c>
      <c r="N53" s="270">
        <f t="shared" si="31"/>
        <v>0</v>
      </c>
      <c r="O53" s="270">
        <f t="shared" si="31"/>
        <v>8.4</v>
      </c>
      <c r="P53" s="270">
        <f t="shared" si="31"/>
        <v>8.4</v>
      </c>
      <c r="Q53" s="270">
        <f t="shared" si="31"/>
        <v>8.4</v>
      </c>
      <c r="R53" s="270">
        <f t="shared" si="31"/>
        <v>8.4</v>
      </c>
      <c r="S53" s="270">
        <f t="shared" si="31"/>
        <v>8.4</v>
      </c>
      <c r="T53" s="270">
        <f t="shared" si="31"/>
        <v>8.4</v>
      </c>
      <c r="U53" s="270">
        <f t="shared" si="31"/>
        <v>0</v>
      </c>
      <c r="V53" s="270">
        <f t="shared" si="31"/>
        <v>8.4</v>
      </c>
      <c r="W53" s="270">
        <f t="shared" si="31"/>
        <v>8.4</v>
      </c>
      <c r="X53" s="270">
        <f t="shared" si="31"/>
        <v>8.4</v>
      </c>
      <c r="Y53" s="270">
        <f t="shared" si="31"/>
        <v>8.4</v>
      </c>
      <c r="Z53" s="270">
        <f t="shared" si="31"/>
        <v>8.4</v>
      </c>
      <c r="AA53" s="270">
        <f t="shared" si="31"/>
        <v>8.4</v>
      </c>
      <c r="AB53" s="270">
        <f t="shared" si="31"/>
        <v>0</v>
      </c>
      <c r="AC53" s="270">
        <f t="shared" si="31"/>
        <v>8.4</v>
      </c>
      <c r="AD53" s="270">
        <f t="shared" si="31"/>
        <v>8.4</v>
      </c>
      <c r="AE53" s="270">
        <f t="shared" si="31"/>
        <v>4.2</v>
      </c>
      <c r="AF53" s="270">
        <f t="shared" si="31"/>
        <v>0</v>
      </c>
      <c r="AG53" s="270">
        <f t="shared" si="31"/>
        <v>0</v>
      </c>
      <c r="AH53" s="270">
        <f t="shared" si="31"/>
        <v>8.4</v>
      </c>
      <c r="AI53" s="270">
        <f t="shared" si="31"/>
        <v>0</v>
      </c>
      <c r="AJ53" s="270">
        <f t="shared" si="31"/>
        <v>8.4</v>
      </c>
      <c r="AK53" s="270">
        <f t="shared" si="31"/>
        <v>8.4</v>
      </c>
      <c r="AL53" s="270">
        <f t="shared" si="31"/>
        <v>4.2</v>
      </c>
      <c r="AM53" s="271">
        <f t="shared" si="20"/>
        <v>201.60000000000005</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6.72</v>
      </c>
      <c r="I55" s="270">
        <f t="shared" si="33"/>
        <v>6.72</v>
      </c>
      <c r="J55" s="270">
        <f t="shared" si="33"/>
        <v>6.72</v>
      </c>
      <c r="K55" s="270">
        <f t="shared" si="33"/>
        <v>6.72</v>
      </c>
      <c r="L55" s="270">
        <f t="shared" si="33"/>
        <v>6.72</v>
      </c>
      <c r="M55" s="270">
        <f t="shared" si="33"/>
        <v>0</v>
      </c>
      <c r="N55" s="270">
        <f t="shared" si="33"/>
        <v>0</v>
      </c>
      <c r="O55" s="270">
        <f t="shared" si="33"/>
        <v>6.72</v>
      </c>
      <c r="P55" s="270">
        <f t="shared" si="33"/>
        <v>6.72</v>
      </c>
      <c r="Q55" s="270">
        <f t="shared" si="33"/>
        <v>6.72</v>
      </c>
      <c r="R55" s="270">
        <f t="shared" si="33"/>
        <v>6.72</v>
      </c>
      <c r="S55" s="270">
        <f t="shared" si="33"/>
        <v>6.72</v>
      </c>
      <c r="T55" s="270">
        <f t="shared" si="33"/>
        <v>0</v>
      </c>
      <c r="U55" s="270">
        <f t="shared" si="33"/>
        <v>0</v>
      </c>
      <c r="V55" s="270">
        <f t="shared" si="33"/>
        <v>6.72</v>
      </c>
      <c r="W55" s="270">
        <f t="shared" si="33"/>
        <v>6.72</v>
      </c>
      <c r="X55" s="270">
        <f t="shared" si="33"/>
        <v>6.72</v>
      </c>
      <c r="Y55" s="270">
        <f t="shared" si="33"/>
        <v>6.72</v>
      </c>
      <c r="Z55" s="270">
        <f t="shared" si="33"/>
        <v>6.72</v>
      </c>
      <c r="AA55" s="270">
        <f t="shared" si="33"/>
        <v>0</v>
      </c>
      <c r="AB55" s="270">
        <f t="shared" si="33"/>
        <v>0</v>
      </c>
      <c r="AC55" s="270">
        <f t="shared" si="33"/>
        <v>6.72</v>
      </c>
      <c r="AD55" s="270">
        <f t="shared" si="33"/>
        <v>6.72</v>
      </c>
      <c r="AE55" s="270">
        <f t="shared" si="33"/>
        <v>3.36</v>
      </c>
      <c r="AF55" s="270">
        <f t="shared" si="33"/>
        <v>0</v>
      </c>
      <c r="AG55" s="270">
        <f t="shared" si="33"/>
        <v>0</v>
      </c>
      <c r="AH55" s="270">
        <f t="shared" si="33"/>
        <v>0</v>
      </c>
      <c r="AI55" s="270">
        <f t="shared" si="33"/>
        <v>0</v>
      </c>
      <c r="AJ55" s="270">
        <f t="shared" si="33"/>
        <v>6.72</v>
      </c>
      <c r="AK55" s="270">
        <f t="shared" si="33"/>
        <v>6.72</v>
      </c>
      <c r="AL55" s="270">
        <f t="shared" si="33"/>
        <v>3.36</v>
      </c>
      <c r="AM55" s="271">
        <f t="shared" si="20"/>
        <v>134.4</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8,4 TZ/FR</v>
      </c>
      <c r="M66" s="279" t="str">
        <f t="shared" si="44"/>
        <v>8,4 TZ/FR</v>
      </c>
      <c r="N66" s="279" t="str">
        <f t="shared" si="44"/>
        <v/>
      </c>
      <c r="O66" s="279" t="str">
        <f t="shared" si="44"/>
        <v>8,4 TZ/FR</v>
      </c>
      <c r="P66" s="279" t="str">
        <f t="shared" si="44"/>
        <v>8,4 TZ/FR</v>
      </c>
      <c r="Q66" s="279" t="str">
        <f t="shared" si="44"/>
        <v>8,4 TZ/FR</v>
      </c>
      <c r="R66" s="279" t="str">
        <f t="shared" si="44"/>
        <v>8,4 TZ/FR</v>
      </c>
      <c r="S66" s="279" t="str">
        <f t="shared" si="44"/>
        <v>8,4 TZ/FR</v>
      </c>
      <c r="T66" s="279" t="str">
        <f t="shared" si="44"/>
        <v>8,4 TZ/FR</v>
      </c>
      <c r="U66" s="279" t="str">
        <f t="shared" si="44"/>
        <v/>
      </c>
      <c r="V66" s="279" t="str">
        <f t="shared" si="44"/>
        <v>8,4 TZ/FR</v>
      </c>
      <c r="W66" s="279" t="str">
        <f t="shared" si="44"/>
        <v>8,4 TZ/FR</v>
      </c>
      <c r="X66" s="279" t="str">
        <f t="shared" si="44"/>
        <v>8,4 TZ/FR</v>
      </c>
      <c r="Y66" s="279" t="str">
        <f t="shared" si="44"/>
        <v>8,4 TZ/FR</v>
      </c>
      <c r="Z66" s="279" t="str">
        <f t="shared" si="44"/>
        <v>8,4 TZ/FR</v>
      </c>
      <c r="AA66" s="279" t="str">
        <f t="shared" si="44"/>
        <v>8,4 TZ/FR</v>
      </c>
      <c r="AB66" s="279" t="str">
        <f t="shared" si="44"/>
        <v/>
      </c>
      <c r="AC66" s="279" t="str">
        <f t="shared" si="44"/>
        <v>8,4 TZ/FR</v>
      </c>
      <c r="AD66" s="279" t="str">
        <f t="shared" si="44"/>
        <v>8,4 TZ/FR</v>
      </c>
      <c r="AE66" s="279" t="str">
        <f t="shared" si="44"/>
        <v>4,2 TZ/FR</v>
      </c>
      <c r="AF66" s="279" t="str">
        <f t="shared" si="44"/>
        <v/>
      </c>
      <c r="AG66" s="279" t="str">
        <f t="shared" si="44"/>
        <v/>
      </c>
      <c r="AH66" s="279" t="str">
        <f t="shared" si="44"/>
        <v>8,4 TZ/FR</v>
      </c>
      <c r="AI66" s="279" t="str">
        <f t="shared" si="44"/>
        <v/>
      </c>
      <c r="AJ66" s="279" t="str">
        <f t="shared" si="44"/>
        <v>8,4 TZ/FR</v>
      </c>
      <c r="AK66" s="279" t="str">
        <f t="shared" si="44"/>
        <v>8,4 TZ/FR</v>
      </c>
      <c r="AL66" s="279" t="str">
        <f t="shared" si="44"/>
        <v>4,2 TZ/FR</v>
      </c>
      <c r="AM66" s="280" t="str">
        <f>ROUND(AM52,2)&amp;" TZ/FR"</f>
        <v>168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FREI</v>
      </c>
      <c r="I68" s="279" t="str">
        <f t="shared" ref="I68:AL68" si="46">IF(OR(I55="",I55=0),"","FREI")</f>
        <v>FREI</v>
      </c>
      <c r="J68" s="279" t="str">
        <f t="shared" si="46"/>
        <v>FREI</v>
      </c>
      <c r="K68" s="279" t="str">
        <f t="shared" si="46"/>
        <v>FREI</v>
      </c>
      <c r="L68" s="279" t="str">
        <f t="shared" si="46"/>
        <v>FREI</v>
      </c>
      <c r="M68" s="279" t="str">
        <f t="shared" si="46"/>
        <v/>
      </c>
      <c r="N68" s="279" t="str">
        <f t="shared" si="46"/>
        <v/>
      </c>
      <c r="O68" s="279" t="str">
        <f t="shared" si="46"/>
        <v>FREI</v>
      </c>
      <c r="P68" s="279" t="str">
        <f t="shared" si="46"/>
        <v>FREI</v>
      </c>
      <c r="Q68" s="279" t="str">
        <f t="shared" si="46"/>
        <v>FREI</v>
      </c>
      <c r="R68" s="279" t="str">
        <f t="shared" si="46"/>
        <v>FREI</v>
      </c>
      <c r="S68" s="279" t="str">
        <f t="shared" si="46"/>
        <v>FREI</v>
      </c>
      <c r="T68" s="279" t="str">
        <f t="shared" si="46"/>
        <v/>
      </c>
      <c r="U68" s="279" t="str">
        <f t="shared" si="46"/>
        <v/>
      </c>
      <c r="V68" s="279" t="str">
        <f t="shared" si="46"/>
        <v>FREI</v>
      </c>
      <c r="W68" s="279" t="str">
        <f t="shared" si="46"/>
        <v>FREI</v>
      </c>
      <c r="X68" s="279" t="str">
        <f t="shared" si="46"/>
        <v>FREI</v>
      </c>
      <c r="Y68" s="279" t="str">
        <f t="shared" si="46"/>
        <v>FREI</v>
      </c>
      <c r="Z68" s="279" t="str">
        <f t="shared" si="46"/>
        <v>FREI</v>
      </c>
      <c r="AA68" s="279" t="str">
        <f t="shared" si="46"/>
        <v/>
      </c>
      <c r="AB68" s="279" t="str">
        <f t="shared" si="46"/>
        <v/>
      </c>
      <c r="AC68" s="279" t="str">
        <f t="shared" si="46"/>
        <v>FREI</v>
      </c>
      <c r="AD68" s="279" t="str">
        <f t="shared" si="46"/>
        <v>FREI</v>
      </c>
      <c r="AE68" s="279" t="str">
        <f t="shared" si="46"/>
        <v>FREI</v>
      </c>
      <c r="AF68" s="279" t="str">
        <f t="shared" si="46"/>
        <v/>
      </c>
      <c r="AG68" s="279" t="str">
        <f t="shared" si="46"/>
        <v/>
      </c>
      <c r="AH68" s="279" t="str">
        <f t="shared" si="46"/>
        <v/>
      </c>
      <c r="AI68" s="279" t="str">
        <f t="shared" si="46"/>
        <v/>
      </c>
      <c r="AJ68" s="279" t="str">
        <f t="shared" si="46"/>
        <v>FREI</v>
      </c>
      <c r="AK68" s="279" t="str">
        <f t="shared" si="46"/>
        <v>FREI</v>
      </c>
      <c r="AL68" s="279" t="str">
        <f t="shared" si="46"/>
        <v>FREI</v>
      </c>
      <c r="AM68" s="280"/>
      <c r="AN68" s="272"/>
    </row>
    <row r="69" spans="2:40" ht="12.75" hidden="1" customHeight="1" x14ac:dyDescent="0.2">
      <c r="B69" s="256"/>
      <c r="C69" s="257"/>
      <c r="D69" s="250"/>
      <c r="E69" s="250"/>
      <c r="F69" s="281"/>
      <c r="G69" s="282" t="s">
        <v>132</v>
      </c>
      <c r="H69" s="283" t="str">
        <f t="shared" ref="H69:AL69" si="47">_xlfn.TEXTJOIN(";",TRUE,H56,H57,H58,H59,H60,H61,H62,H63,H64,H68)</f>
        <v>FREI</v>
      </c>
      <c r="I69" s="283" t="str">
        <f>_xlfn.TEXTJOIN(";",TRUE,I56,I57,I58,I59,I60,I61,I62,I63,I64,I68)</f>
        <v>FREI</v>
      </c>
      <c r="J69" s="283" t="str">
        <f t="shared" si="47"/>
        <v>FREI</v>
      </c>
      <c r="K69" s="283" t="str">
        <f t="shared" si="47"/>
        <v>FREI</v>
      </c>
      <c r="L69" s="283" t="str">
        <f>_xlfn.TEXTJOIN(";",TRUE,L56,L57,L58,L59,L60,L61,L62,L63,L64,L68)</f>
        <v>FREI</v>
      </c>
      <c r="M69" s="283" t="str">
        <f t="shared" si="47"/>
        <v/>
      </c>
      <c r="N69" s="283" t="str">
        <f t="shared" si="47"/>
        <v/>
      </c>
      <c r="O69" s="283" t="str">
        <f t="shared" si="47"/>
        <v>FREI</v>
      </c>
      <c r="P69" s="283" t="str">
        <f t="shared" si="47"/>
        <v>FREI</v>
      </c>
      <c r="Q69" s="283" t="str">
        <f t="shared" si="47"/>
        <v>FREI</v>
      </c>
      <c r="R69" s="283" t="str">
        <f t="shared" si="47"/>
        <v>FREI</v>
      </c>
      <c r="S69" s="283" t="str">
        <f t="shared" si="47"/>
        <v>FREI</v>
      </c>
      <c r="T69" s="283" t="str">
        <f t="shared" si="47"/>
        <v/>
      </c>
      <c r="U69" s="283" t="str">
        <f t="shared" si="47"/>
        <v/>
      </c>
      <c r="V69" s="283" t="str">
        <f t="shared" si="47"/>
        <v>FREI</v>
      </c>
      <c r="W69" s="283" t="str">
        <f t="shared" si="47"/>
        <v>FREI</v>
      </c>
      <c r="X69" s="283" t="str">
        <f t="shared" si="47"/>
        <v>FREI</v>
      </c>
      <c r="Y69" s="283" t="str">
        <f t="shared" si="47"/>
        <v>FREI</v>
      </c>
      <c r="Z69" s="283" t="str">
        <f t="shared" si="47"/>
        <v>FREI</v>
      </c>
      <c r="AA69" s="283" t="str">
        <f t="shared" si="47"/>
        <v/>
      </c>
      <c r="AB69" s="283" t="str">
        <f t="shared" si="47"/>
        <v/>
      </c>
      <c r="AC69" s="283" t="str">
        <f t="shared" si="47"/>
        <v>FREI</v>
      </c>
      <c r="AD69" s="283" t="str">
        <f t="shared" si="47"/>
        <v>FREI</v>
      </c>
      <c r="AE69" s="283" t="str">
        <f t="shared" si="47"/>
        <v>FREI</v>
      </c>
      <c r="AF69" s="283" t="str">
        <f t="shared" si="47"/>
        <v/>
      </c>
      <c r="AG69" s="283" t="str">
        <f t="shared" si="47"/>
        <v/>
      </c>
      <c r="AH69" s="283" t="str">
        <f t="shared" si="47"/>
        <v/>
      </c>
      <c r="AI69" s="283" t="str">
        <f t="shared" si="47"/>
        <v/>
      </c>
      <c r="AJ69" s="283" t="str">
        <f t="shared" si="47"/>
        <v>FREI</v>
      </c>
      <c r="AK69" s="283" t="str">
        <f t="shared" si="47"/>
        <v>FREI</v>
      </c>
      <c r="AL69" s="283" t="str">
        <f t="shared" si="47"/>
        <v>FREI</v>
      </c>
      <c r="AM69" s="280"/>
      <c r="AN69" s="272"/>
    </row>
    <row r="70" spans="2:40" ht="12.75" hidden="1" customHeight="1" x14ac:dyDescent="0.2">
      <c r="B70" s="256"/>
      <c r="C70" s="257"/>
      <c r="D70" s="250"/>
      <c r="E70" s="250"/>
      <c r="F70" s="281"/>
      <c r="G70" s="278" t="s">
        <v>158</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cm="1">
        <f t="array" ref="M70">IF(ISERROR(_xlfn.TEXTSPLIT(M69,,";",TRUE)),0,_xlfn.TEXTSPLIT(M69,,";",TRUE))</f>
        <v>0</v>
      </c>
      <c r="N70" s="284" cm="1">
        <f t="array" ref="N70">IF(ISERROR(_xlfn.TEXTSPLIT(N69,,";",TRUE)),0,_xlfn.TEXTSPLIT(N69,,";",TRUE))</f>
        <v>0</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cm="1">
        <f t="array" ref="T70">IF(ISERROR(_xlfn.TEXTSPLIT(T69,,";",TRUE)),0,_xlfn.TEXTSPLIT(T69,,";",TRUE))</f>
        <v>0</v>
      </c>
      <c r="U70" s="284" cm="1">
        <f t="array" ref="U70">IF(ISERROR(_xlfn.TEXTSPLIT(U69,,";",TRUE)),0,_xlfn.TEXTSPLIT(U69,,";",TRUE))</f>
        <v>0</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cm="1">
        <f t="array" ref="AA70">IF(ISERROR(_xlfn.TEXTSPLIT(AA69,,";",TRUE)),0,_xlfn.TEXTSPLIT(AA69,,";",TRUE))</f>
        <v>0</v>
      </c>
      <c r="AB70" s="284" cm="1">
        <f t="array" ref="AB70">IF(ISERROR(_xlfn.TEXTSPLIT(AB69,,";",TRUE)),0,_xlfn.TEXTSPLIT(AB69,,";",TRUE))</f>
        <v>0</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cm="1">
        <f t="array" ref="AF70">IF(ISERROR(_xlfn.TEXTSPLIT(AF69,,";",TRUE)),0,_xlfn.TEXTSPLIT(AF69,,";",TRUE))</f>
        <v>0</v>
      </c>
      <c r="AG70" s="284" cm="1">
        <f t="array" ref="AG70">IF(ISERROR(_xlfn.TEXTSPLIT(AG69,,";",TRUE)),0,_xlfn.TEXTSPLIT(AG69,,";",TRUE))</f>
        <v>0</v>
      </c>
      <c r="AH70" s="284" cm="1">
        <f t="array" ref="AH70">IF(ISERROR(_xlfn.TEXTSPLIT(AH69,,";",TRUE)),0,_xlfn.TEXTSPLIT(AH69,,";",TRUE))</f>
        <v>0</v>
      </c>
      <c r="AI70" s="284" cm="1">
        <f t="array" ref="AI70">IF(ISERROR(_xlfn.TEXTSPLIT(AI69,,";",TRUE)),0,_xlfn.TEXTSPLIT(AI69,,";",TRUE))</f>
        <v>0</v>
      </c>
      <c r="AJ70" s="284" t="str" cm="1">
        <f t="array" ref="AJ70">IF(ISERROR(_xlfn.TEXTSPLIT(AJ69,,";",TRUE)),0,_xlfn.TEXTSPLIT(AJ69,,";",TRUE))</f>
        <v>FREI</v>
      </c>
      <c r="AK70" s="284" t="str" cm="1">
        <f t="array" ref="AK70">IF(ISERROR(_xlfn.TEXTSPLIT(AK69,,";",TRUE)),0,_xlfn.TEXTSPLIT(AK69,,";",TRUE))</f>
        <v>FREI</v>
      </c>
      <c r="AL70" s="284" t="str" cm="1">
        <f t="array" ref="AL70">IF(ISERROR(_xlfn.TEXTSPLIT(AL69,,";",TRUE)),0,_xlfn.TEXTSPLIT(AL69,,";",TRUE))</f>
        <v>FREI</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-1559.0400000000052</v>
      </c>
      <c r="I74" s="289">
        <f t="shared" ref="I74:AL74" si="49">H74+I26-I14</f>
        <v>-1565.7600000000052</v>
      </c>
      <c r="J74" s="289">
        <f t="shared" si="49"/>
        <v>-1572.4800000000052</v>
      </c>
      <c r="K74" s="289">
        <f t="shared" si="49"/>
        <v>-1579.2000000000053</v>
      </c>
      <c r="L74" s="289">
        <f t="shared" si="49"/>
        <v>-1585.9200000000053</v>
      </c>
      <c r="M74" s="289">
        <f t="shared" si="49"/>
        <v>-1585.9200000000053</v>
      </c>
      <c r="N74" s="289">
        <f t="shared" si="49"/>
        <v>-1585.9200000000053</v>
      </c>
      <c r="O74" s="289">
        <f t="shared" si="49"/>
        <v>-1592.6400000000053</v>
      </c>
      <c r="P74" s="289">
        <f t="shared" si="49"/>
        <v>-1599.3600000000054</v>
      </c>
      <c r="Q74" s="289">
        <f t="shared" si="49"/>
        <v>-1606.0800000000054</v>
      </c>
      <c r="R74" s="289">
        <f t="shared" si="49"/>
        <v>-1612.8000000000054</v>
      </c>
      <c r="S74" s="289">
        <f t="shared" si="49"/>
        <v>-1619.5200000000054</v>
      </c>
      <c r="T74" s="289">
        <f t="shared" si="49"/>
        <v>-1619.5200000000054</v>
      </c>
      <c r="U74" s="289">
        <f t="shared" si="49"/>
        <v>-1619.5200000000054</v>
      </c>
      <c r="V74" s="289">
        <f t="shared" si="49"/>
        <v>-1626.2400000000055</v>
      </c>
      <c r="W74" s="289">
        <f t="shared" si="49"/>
        <v>-1632.9600000000055</v>
      </c>
      <c r="X74" s="289">
        <f t="shared" si="49"/>
        <v>-1639.6800000000055</v>
      </c>
      <c r="Y74" s="289">
        <f t="shared" si="49"/>
        <v>-1646.4000000000055</v>
      </c>
      <c r="Z74" s="289">
        <f t="shared" si="49"/>
        <v>-1653.1200000000056</v>
      </c>
      <c r="AA74" s="289">
        <f t="shared" si="49"/>
        <v>-1653.1200000000056</v>
      </c>
      <c r="AB74" s="289">
        <f t="shared" si="49"/>
        <v>-1653.1200000000056</v>
      </c>
      <c r="AC74" s="289">
        <f t="shared" si="49"/>
        <v>-1659.8400000000056</v>
      </c>
      <c r="AD74" s="289">
        <f t="shared" si="49"/>
        <v>-1666.5600000000056</v>
      </c>
      <c r="AE74" s="289">
        <f t="shared" si="49"/>
        <v>-1669.9200000000055</v>
      </c>
      <c r="AF74" s="289">
        <f t="shared" si="49"/>
        <v>-1669.9200000000055</v>
      </c>
      <c r="AG74" s="289">
        <f t="shared" si="49"/>
        <v>-1669.9200000000055</v>
      </c>
      <c r="AH74" s="289">
        <f t="shared" si="49"/>
        <v>-1669.9200000000055</v>
      </c>
      <c r="AI74" s="289">
        <f t="shared" si="49"/>
        <v>-1669.9200000000055</v>
      </c>
      <c r="AJ74" s="289">
        <f t="shared" si="49"/>
        <v>-1676.6400000000056</v>
      </c>
      <c r="AK74" s="289">
        <f t="shared" si="49"/>
        <v>-1683.3600000000056</v>
      </c>
      <c r="AL74" s="289">
        <f t="shared" si="49"/>
        <v>-1686.7200000000055</v>
      </c>
      <c r="AM74" s="290">
        <f>AL74</f>
        <v>-1686.7200000000055</v>
      </c>
    </row>
    <row r="75" spans="2:40" ht="12.75" customHeight="1" x14ac:dyDescent="0.2">
      <c r="B75" s="250"/>
      <c r="C75" s="11"/>
      <c r="D75" s="250"/>
      <c r="E75" s="250"/>
      <c r="F75" s="574"/>
      <c r="G75" s="203" t="s">
        <v>71</v>
      </c>
      <c r="H75" s="291">
        <f>H74/TaginSt</f>
        <v>-185.60000000000062</v>
      </c>
      <c r="I75" s="247">
        <f t="shared" ref="I75:AL75" si="50">I74/TaginSt</f>
        <v>-186.4000000000006</v>
      </c>
      <c r="J75" s="247">
        <f t="shared" si="50"/>
        <v>-187.20000000000061</v>
      </c>
      <c r="K75" s="247">
        <f t="shared" si="50"/>
        <v>-188.00000000000063</v>
      </c>
      <c r="L75" s="247">
        <f t="shared" si="50"/>
        <v>-188.80000000000064</v>
      </c>
      <c r="M75" s="247">
        <f t="shared" si="50"/>
        <v>-188.80000000000064</v>
      </c>
      <c r="N75" s="247">
        <f t="shared" si="50"/>
        <v>-188.80000000000064</v>
      </c>
      <c r="O75" s="247">
        <f t="shared" si="50"/>
        <v>-189.60000000000062</v>
      </c>
      <c r="P75" s="247">
        <f t="shared" si="50"/>
        <v>-190.40000000000063</v>
      </c>
      <c r="Q75" s="247">
        <f t="shared" si="50"/>
        <v>-191.20000000000064</v>
      </c>
      <c r="R75" s="247">
        <f t="shared" si="50"/>
        <v>-192.00000000000063</v>
      </c>
      <c r="S75" s="247">
        <f t="shared" si="50"/>
        <v>-192.80000000000064</v>
      </c>
      <c r="T75" s="247">
        <f t="shared" si="50"/>
        <v>-192.80000000000064</v>
      </c>
      <c r="U75" s="247">
        <f t="shared" si="50"/>
        <v>-192.80000000000064</v>
      </c>
      <c r="V75" s="247">
        <f t="shared" si="50"/>
        <v>-193.60000000000065</v>
      </c>
      <c r="W75" s="247">
        <f t="shared" si="50"/>
        <v>-194.40000000000066</v>
      </c>
      <c r="X75" s="247">
        <f t="shared" si="50"/>
        <v>-195.20000000000064</v>
      </c>
      <c r="Y75" s="247">
        <f t="shared" si="50"/>
        <v>-196.00000000000065</v>
      </c>
      <c r="Z75" s="247">
        <f t="shared" si="50"/>
        <v>-196.80000000000067</v>
      </c>
      <c r="AA75" s="247">
        <f t="shared" si="50"/>
        <v>-196.80000000000067</v>
      </c>
      <c r="AB75" s="247">
        <f t="shared" si="50"/>
        <v>-196.80000000000067</v>
      </c>
      <c r="AC75" s="247">
        <f t="shared" si="50"/>
        <v>-197.60000000000065</v>
      </c>
      <c r="AD75" s="247">
        <f t="shared" si="50"/>
        <v>-198.40000000000066</v>
      </c>
      <c r="AE75" s="247">
        <f t="shared" si="50"/>
        <v>-198.80000000000064</v>
      </c>
      <c r="AF75" s="247">
        <f t="shared" si="50"/>
        <v>-198.80000000000064</v>
      </c>
      <c r="AG75" s="247">
        <f t="shared" si="50"/>
        <v>-198.80000000000064</v>
      </c>
      <c r="AH75" s="247">
        <f t="shared" si="50"/>
        <v>-198.80000000000064</v>
      </c>
      <c r="AI75" s="247">
        <f t="shared" si="50"/>
        <v>-198.80000000000064</v>
      </c>
      <c r="AJ75" s="247">
        <f t="shared" si="50"/>
        <v>-199.60000000000065</v>
      </c>
      <c r="AK75" s="247">
        <f t="shared" si="50"/>
        <v>-200.40000000000066</v>
      </c>
      <c r="AL75" s="247">
        <f t="shared" si="50"/>
        <v>-200.80000000000064</v>
      </c>
      <c r="AM75" s="292">
        <f>AL75</f>
        <v>-200.80000000000064</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t="s">
        <v>209</v>
      </c>
      <c r="AF77" s="5" t="s">
        <v>210</v>
      </c>
      <c r="AG77" s="5" t="s">
        <v>211</v>
      </c>
      <c r="AH77" s="5"/>
      <c r="AI77" s="5"/>
      <c r="AJ77" s="5"/>
      <c r="AK77" s="5"/>
      <c r="AL77" s="5" t="s">
        <v>93</v>
      </c>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fttAGszPw+mbS7spfNO+ql/9eJfeMtW+oQZVXVNEheZ9Lfr9NvB61yconGcU+LNgQkxX2pvEgBXENMyaVSTc4Q==" saltValue="FatZZhJOMSzLqd0s4cbCJQ==" spinCount="100000" sheet="1" objects="1" scenarios="1"/>
  <mergeCells count="29">
    <mergeCell ref="AO42:AO53"/>
    <mergeCell ref="F42:F55"/>
    <mergeCell ref="F78:G78"/>
    <mergeCell ref="F14:F15"/>
    <mergeCell ref="B17:B18"/>
    <mergeCell ref="C17:C18"/>
    <mergeCell ref="F26:F28"/>
    <mergeCell ref="F30:F38"/>
    <mergeCell ref="F56:F68"/>
    <mergeCell ref="F74:F75"/>
    <mergeCell ref="F17:F24"/>
    <mergeCell ref="F41:G41"/>
    <mergeCell ref="D79:E91"/>
    <mergeCell ref="F79:G79"/>
    <mergeCell ref="F80:G80"/>
    <mergeCell ref="F81:G81"/>
    <mergeCell ref="F82:G82"/>
    <mergeCell ref="F83:G83"/>
    <mergeCell ref="F84:G84"/>
    <mergeCell ref="F85:G85"/>
    <mergeCell ref="F86:G86"/>
    <mergeCell ref="F87:G87"/>
    <mergeCell ref="F94:G94"/>
    <mergeCell ref="F88:G88"/>
    <mergeCell ref="F89:G89"/>
    <mergeCell ref="F90:G90"/>
    <mergeCell ref="F91:G91"/>
    <mergeCell ref="F92:G92"/>
    <mergeCell ref="F93:G93"/>
  </mergeCells>
  <conditionalFormatting sqref="H11:AL12">
    <cfRule type="expression" dxfId="41" priority="10">
      <formula>OR(WEEKDAY(H$12,2)=7,IF(ISERROR(VLOOKUP(H$12,Feiertagsanspruch,1,FALSE)),0,VLOOKUP(H$12,Feiertagsanspruch,1,FALSE)))</formula>
    </cfRule>
  </conditionalFormatting>
  <conditionalFormatting sqref="H17:AL24">
    <cfRule type="expression" dxfId="40" priority="11">
      <formula>OR(WEEKDAY(H$12,2)=7,IF(ISERROR(VLOOKUP(H$12,Feiertagsanspruch,1,FALSE)),0,VLOOKUP(H$12,Feiertagsanspruch,1,FALSE)))</formula>
    </cfRule>
  </conditionalFormatting>
  <conditionalFormatting sqref="H30:AL32 H35:AL38">
    <cfRule type="expression" dxfId="39" priority="4">
      <formula>H$14=0</formula>
    </cfRule>
  </conditionalFormatting>
  <conditionalFormatting sqref="H33:AL34">
    <cfRule type="expression" dxfId="38" priority="1">
      <formula>H$9=0</formula>
    </cfRule>
  </conditionalFormatting>
  <conditionalFormatting sqref="H74:AL74">
    <cfRule type="cellIs" dxfId="37" priority="8" stopIfTrue="1" operator="lessThan">
      <formula>-20</formula>
    </cfRule>
    <cfRule type="cellIs" dxfId="36" priority="9" stopIfTrue="1" operator="greaterThan">
      <formula>50</formula>
    </cfRule>
  </conditionalFormatting>
  <conditionalFormatting sqref="H75:AL75">
    <cfRule type="cellIs" dxfId="35" priority="6" stopIfTrue="1" operator="lessThan">
      <formula>-2.38095238095238</formula>
    </cfRule>
    <cfRule type="cellIs" dxfId="34" priority="7" stopIfTrue="1" operator="greaterThan">
      <formula>5.95238095238095</formula>
    </cfRule>
  </conditionalFormatting>
  <dataValidations count="13">
    <dataValidation allowBlank="1" sqref="H29:AL29" xr:uid="{B3DF57C4-35DE-47CF-9EE3-CE04E2C1E1C4}"/>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A250CF9B-E8A7-4CDE-8B3C-2B2C12D11553}">
      <formula1>AND(H35&lt;=H6,H35&gt;0,SUM(H30:H38)&lt;=H6,COUNTA(H29:H37)&lt;=MaxAbwesenheitenproTag,OR(H31=""))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C214C922-6600-4EF6-A608-B068AF95C8B3}">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41189200-8D67-409B-8D2D-279D2201805F}">
      <formula1>AND(H38&lt;=H6, H38&gt;0,SUM(H30:H38)&lt;=H6,COUNTA(H30:H38)&lt;=MaxAbwesenheitenproTag,OR(H31=""))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6E101C6E-1893-4E65-818C-3AC02040BE0D}">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997A6D21-BB4C-4E92-A56D-892FE3B2744B}">
      <formula1>AND(H36&lt;=H6,H36&gt;0,SUM(H30:H38)&lt;=H6,COUNTA(H30:H38)&lt;=MaxAbwesenheitenproTag,OR(H31=""))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81689D85-BF94-4ECC-862A-DFBC75F50745}">
      <formula1>AND(H9&gt;0,H33&lt;=1,H33&gt;0,SUM(H30:H38)&lt;=1,COUNTA(H30:H38)&lt;=MaxAbwesenheitenproTag,OR(H31=""))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945DECB5-C88A-4E2E-BA5D-97DA8AB9B6D1}">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99FB4FFE-87D4-45F1-B252-84BBF7F3B745}">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7B1E93A2-F4D0-4F95-9FD0-5F181EB3DC44}">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8D9CA9AF-C1DD-436D-8675-A3A7BB76364F}">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80E59204-4670-4EDC-8CA1-A253AB3DB954}">
      <formula1>AND(H30&lt;=H6,H30&gt;0,SUM(H30:H38)&lt;=H6,COUNTA(H30:H38)&lt;=MaxAbwesenheitenproTag,OR(H31=""))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3079076A-8BD5-4109-B3B0-BE956E01861D}">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22B66B8C-D0A7-4F9B-8C2B-9380B2702598}">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6D10-9BCB-477C-8D38-ECD3CBC8316D}">
  <sheetPr>
    <tabColor theme="5" tint="0.79998168889431442"/>
    <pageSetUpPr fitToPage="1"/>
  </sheetPr>
  <dimension ref="A2:R75"/>
  <sheetViews>
    <sheetView showGridLines="0" showRowColHeaders="0" zoomScaleNormal="100" workbookViewId="0">
      <pane xSplit="3" topLeftCell="D1" activePane="topRight" state="frozen"/>
      <selection activeCell="Y94" sqref="Y94"/>
      <selection pane="topRight" activeCell="B2" sqref="B2"/>
    </sheetView>
  </sheetViews>
  <sheetFormatPr baseColWidth="10" defaultColWidth="11.42578125" defaultRowHeight="12.75" x14ac:dyDescent="0.2"/>
  <cols>
    <col min="1" max="1" width="2.85546875" style="10" customWidth="1"/>
    <col min="2" max="2" width="9.85546875" style="10" customWidth="1"/>
    <col min="3" max="3" width="13.42578125" style="166" customWidth="1"/>
    <col min="4" max="15" width="6.7109375" style="10" customWidth="1"/>
    <col min="16" max="16" width="8.85546875" style="10" customWidth="1"/>
    <col min="17" max="16384" width="11.42578125" style="10"/>
  </cols>
  <sheetData>
    <row r="2" spans="1:18" ht="15" x14ac:dyDescent="0.25">
      <c r="B2" s="460" t="str">
        <f>_xlfn.CONCAT("Zusammenzug von ",Pfarrer, " für das Jahr ", Jahr)</f>
        <v>Zusammenzug von Heinz Muster für das Jahr 2025</v>
      </c>
      <c r="P2" s="470" t="str">
        <f>Version</f>
        <v>v25/24.12.28zw</v>
      </c>
    </row>
    <row r="4" spans="1:18" x14ac:dyDescent="0.2">
      <c r="A4" s="166"/>
      <c r="B4" s="592" t="s">
        <v>169</v>
      </c>
      <c r="C4" s="592"/>
      <c r="D4" s="168">
        <f>Jan!AM1</f>
        <v>16.8</v>
      </c>
      <c r="E4" s="168">
        <f>Feb!AM1</f>
        <v>0</v>
      </c>
      <c r="F4" s="168">
        <f>Mär!AM1</f>
        <v>0</v>
      </c>
      <c r="G4" s="168">
        <f>Apr!AM1</f>
        <v>16.8</v>
      </c>
      <c r="H4" s="168">
        <f>Mai!AM1</f>
        <v>8.4</v>
      </c>
      <c r="I4" s="168">
        <f>Jun!AM1</f>
        <v>8.4</v>
      </c>
      <c r="J4" s="168">
        <f>Jul!AM1</f>
        <v>0</v>
      </c>
      <c r="K4" s="168">
        <f>Aug!AM1</f>
        <v>8.4</v>
      </c>
      <c r="L4" s="168">
        <f>Sep!AM1</f>
        <v>0</v>
      </c>
      <c r="M4" s="168">
        <f>Okt!AM1</f>
        <v>0</v>
      </c>
      <c r="N4" s="168">
        <f>Nov!AM1</f>
        <v>0</v>
      </c>
      <c r="O4" s="168">
        <f>Dez!AM1</f>
        <v>25.2</v>
      </c>
      <c r="P4" s="311">
        <f>SUM(D4:O4)</f>
        <v>84</v>
      </c>
      <c r="R4" s="310"/>
    </row>
    <row r="5" spans="1:18" ht="13.5" thickBot="1" x14ac:dyDescent="0.25">
      <c r="A5" s="166"/>
      <c r="B5" s="592" t="s">
        <v>191</v>
      </c>
      <c r="C5" s="592"/>
      <c r="D5" s="168">
        <f>Jan!AM2</f>
        <v>13.44</v>
      </c>
      <c r="E5" s="168">
        <f>Feb!AM2</f>
        <v>0</v>
      </c>
      <c r="F5" s="168">
        <f>Mär!AM2</f>
        <v>0</v>
      </c>
      <c r="G5" s="168">
        <f>Apr!AM2</f>
        <v>13.44</v>
      </c>
      <c r="H5" s="168">
        <f>Mai!AM2</f>
        <v>6.72</v>
      </c>
      <c r="I5" s="168">
        <f>Jun!AM2</f>
        <v>6.72</v>
      </c>
      <c r="J5" s="168">
        <f>Jul!AM2</f>
        <v>0</v>
      </c>
      <c r="K5" s="168">
        <f>Aug!AM2</f>
        <v>6.72</v>
      </c>
      <c r="L5" s="168">
        <f>Sep!AM2</f>
        <v>0</v>
      </c>
      <c r="M5" s="168">
        <f>Okt!AM2</f>
        <v>0</v>
      </c>
      <c r="N5" s="168">
        <f>Nov!AM2</f>
        <v>0</v>
      </c>
      <c r="O5" s="168">
        <f>Dez!AM2</f>
        <v>20.16</v>
      </c>
      <c r="P5" s="311">
        <f>SUM(D5:O5)</f>
        <v>67.2</v>
      </c>
    </row>
    <row r="6" spans="1:18" ht="13.5" thickBot="1" x14ac:dyDescent="0.25">
      <c r="A6" s="166"/>
      <c r="B6" s="592" t="s">
        <v>171</v>
      </c>
      <c r="C6" s="592"/>
      <c r="D6" s="168">
        <f>Jan!AM3</f>
        <v>33.6</v>
      </c>
      <c r="E6" s="168">
        <f>Feb!AM3</f>
        <v>33.6</v>
      </c>
      <c r="F6" s="168">
        <f>Mär!AM3</f>
        <v>42</v>
      </c>
      <c r="G6" s="168">
        <f>Apr!AM3</f>
        <v>33.6</v>
      </c>
      <c r="H6" s="168">
        <f>Mai!AM3</f>
        <v>42</v>
      </c>
      <c r="I6" s="168">
        <f>Jun!AM3</f>
        <v>33.6</v>
      </c>
      <c r="J6" s="168">
        <f>Jul!AM3</f>
        <v>33.6</v>
      </c>
      <c r="K6" s="168">
        <f>Aug!AM3</f>
        <v>42</v>
      </c>
      <c r="L6" s="168">
        <f>Sep!AM3</f>
        <v>33.6</v>
      </c>
      <c r="M6" s="168">
        <f>Okt!AM3</f>
        <v>33.6</v>
      </c>
      <c r="N6" s="168">
        <f>Nov!AM3</f>
        <v>42</v>
      </c>
      <c r="O6" s="312">
        <f>Dez!AM3</f>
        <v>33.6</v>
      </c>
      <c r="P6" s="313">
        <f t="shared" ref="P6:P43" si="0">SUM(D6:O6)</f>
        <v>436.80000000000007</v>
      </c>
    </row>
    <row r="7" spans="1:18" ht="13.5" thickBot="1" x14ac:dyDescent="0.25">
      <c r="A7" s="166"/>
      <c r="B7" s="592" t="s">
        <v>172</v>
      </c>
      <c r="C7" s="592"/>
      <c r="D7" s="168">
        <f>Jan!AM4</f>
        <v>35.28</v>
      </c>
      <c r="E7" s="168">
        <f>Feb!AM4</f>
        <v>33.6</v>
      </c>
      <c r="F7" s="168">
        <f>Mär!AM4</f>
        <v>35.28</v>
      </c>
      <c r="G7" s="168">
        <f>Apr!AM4</f>
        <v>33.6</v>
      </c>
      <c r="H7" s="168">
        <f>Mai!AM4</f>
        <v>35.28</v>
      </c>
      <c r="I7" s="168">
        <f>Jun!AM4</f>
        <v>33.6</v>
      </c>
      <c r="J7" s="168">
        <f>Jul!AM4</f>
        <v>38.64</v>
      </c>
      <c r="K7" s="168">
        <f>Aug!AM4</f>
        <v>33.6</v>
      </c>
      <c r="L7" s="168">
        <f>Sep!AM4</f>
        <v>36.96</v>
      </c>
      <c r="M7" s="168">
        <f>Okt!AM4</f>
        <v>38.64</v>
      </c>
      <c r="N7" s="168">
        <f>Nov!AM4</f>
        <v>33.6</v>
      </c>
      <c r="O7" s="312">
        <f>Dez!AM4</f>
        <v>33.6</v>
      </c>
      <c r="P7" s="313">
        <f t="shared" si="0"/>
        <v>421.68</v>
      </c>
    </row>
    <row r="8" spans="1:18" x14ac:dyDescent="0.2">
      <c r="B8" s="593" t="s">
        <v>78</v>
      </c>
      <c r="C8" s="593"/>
      <c r="D8" s="168">
        <f>Jan!AM7</f>
        <v>31</v>
      </c>
      <c r="E8" s="168">
        <f>Feb!AM7</f>
        <v>28</v>
      </c>
      <c r="F8" s="168">
        <f>Mär!AM7</f>
        <v>31</v>
      </c>
      <c r="G8" s="168">
        <f>Apr!AM7</f>
        <v>30</v>
      </c>
      <c r="H8" s="168">
        <f>Mai!AM7</f>
        <v>31</v>
      </c>
      <c r="I8" s="168">
        <f>Jun!AM7</f>
        <v>30</v>
      </c>
      <c r="J8" s="168">
        <f>Jul!AM7</f>
        <v>31</v>
      </c>
      <c r="K8" s="168">
        <f>Aug!AM7</f>
        <v>31</v>
      </c>
      <c r="L8" s="168">
        <f>Sep!AM7</f>
        <v>30</v>
      </c>
      <c r="M8" s="168">
        <f>Okt!AM7</f>
        <v>31</v>
      </c>
      <c r="N8" s="168">
        <f>Nov!AM7</f>
        <v>30</v>
      </c>
      <c r="O8" s="168">
        <f>Dez!AM7</f>
        <v>31</v>
      </c>
      <c r="P8" s="311">
        <f t="shared" si="0"/>
        <v>365</v>
      </c>
    </row>
    <row r="9" spans="1:18" ht="6.75" customHeight="1" x14ac:dyDescent="0.2">
      <c r="A9" s="166"/>
      <c r="B9" s="185"/>
      <c r="C9" s="314"/>
      <c r="D9" s="315"/>
      <c r="E9" s="315"/>
      <c r="F9" s="315"/>
      <c r="G9" s="315"/>
      <c r="H9" s="315"/>
      <c r="I9" s="315"/>
      <c r="J9" s="315"/>
      <c r="K9" s="315"/>
      <c r="L9" s="315"/>
      <c r="M9" s="315"/>
      <c r="N9" s="315"/>
      <c r="O9" s="315"/>
      <c r="P9" s="315"/>
    </row>
    <row r="10" spans="1:18" ht="12.75" customHeight="1" x14ac:dyDescent="0.2">
      <c r="A10" s="191"/>
      <c r="B10" s="185"/>
      <c r="C10" s="192" t="s">
        <v>7</v>
      </c>
      <c r="D10" s="316" t="s">
        <v>174</v>
      </c>
      <c r="E10" s="316" t="s">
        <v>175</v>
      </c>
      <c r="F10" s="316" t="s">
        <v>176</v>
      </c>
      <c r="G10" s="316" t="s">
        <v>177</v>
      </c>
      <c r="H10" s="316" t="s">
        <v>126</v>
      </c>
      <c r="I10" s="316" t="s">
        <v>178</v>
      </c>
      <c r="J10" s="316" t="s">
        <v>179</v>
      </c>
      <c r="K10" s="316" t="s">
        <v>180</v>
      </c>
      <c r="L10" s="316" t="s">
        <v>181</v>
      </c>
      <c r="M10" s="316" t="s">
        <v>182</v>
      </c>
      <c r="N10" s="316" t="s">
        <v>183</v>
      </c>
      <c r="O10" s="316" t="s">
        <v>184</v>
      </c>
      <c r="P10" s="317"/>
    </row>
    <row r="11" spans="1:18" ht="3.75" customHeight="1" x14ac:dyDescent="0.2">
      <c r="A11" s="196"/>
      <c r="B11" s="197"/>
      <c r="C11" s="198"/>
      <c r="D11" s="198"/>
      <c r="E11" s="198"/>
      <c r="F11" s="198"/>
      <c r="G11" s="198"/>
      <c r="H11" s="198"/>
      <c r="I11" s="198"/>
      <c r="J11" s="198"/>
      <c r="K11" s="198"/>
      <c r="L11" s="198"/>
      <c r="M11" s="198"/>
      <c r="N11" s="198"/>
      <c r="O11" s="198"/>
      <c r="P11" s="198"/>
    </row>
    <row r="12" spans="1:18" ht="12.75" customHeight="1" x14ac:dyDescent="0.2">
      <c r="A12" s="202"/>
      <c r="B12" s="566" t="s">
        <v>65</v>
      </c>
      <c r="C12" s="318" t="s">
        <v>56</v>
      </c>
      <c r="D12" s="319">
        <f>Jan!AM14</f>
        <v>141.12</v>
      </c>
      <c r="E12" s="319">
        <f>Feb!AM14</f>
        <v>134.4</v>
      </c>
      <c r="F12" s="319">
        <f>Mär!AM14</f>
        <v>141.12</v>
      </c>
      <c r="G12" s="319">
        <f>Apr!AM14</f>
        <v>134.4</v>
      </c>
      <c r="H12" s="319">
        <f>Mai!AM14</f>
        <v>141.12</v>
      </c>
      <c r="I12" s="319">
        <f>Jun!AM14</f>
        <v>134.4</v>
      </c>
      <c r="J12" s="319">
        <f>Jul!AM14</f>
        <v>154.56</v>
      </c>
      <c r="K12" s="319">
        <f>Aug!AM14</f>
        <v>134.4</v>
      </c>
      <c r="L12" s="319">
        <f>Sep!AM14</f>
        <v>147.84</v>
      </c>
      <c r="M12" s="319">
        <f>Okt!AM14</f>
        <v>154.56</v>
      </c>
      <c r="N12" s="319">
        <f>Nov!AM14</f>
        <v>134.4</v>
      </c>
      <c r="O12" s="319">
        <f>Dez!AM14</f>
        <v>134.4</v>
      </c>
      <c r="P12" s="339">
        <f t="shared" si="0"/>
        <v>1686.72</v>
      </c>
    </row>
    <row r="13" spans="1:18" ht="12.75" customHeight="1" x14ac:dyDescent="0.2">
      <c r="A13" s="202"/>
      <c r="B13" s="566"/>
      <c r="C13" s="318" t="s">
        <v>136</v>
      </c>
      <c r="D13" s="319">
        <f>Jan!AM15</f>
        <v>16.800000000000004</v>
      </c>
      <c r="E13" s="319">
        <f>Feb!AM15</f>
        <v>16.000000000000004</v>
      </c>
      <c r="F13" s="319">
        <f>Mär!AM15</f>
        <v>16.800000000000004</v>
      </c>
      <c r="G13" s="319">
        <f>Apr!AM15</f>
        <v>16.000000000000004</v>
      </c>
      <c r="H13" s="319">
        <f>Mai!AM15</f>
        <v>16.800000000000004</v>
      </c>
      <c r="I13" s="319">
        <f>Jun!AM15</f>
        <v>16.000000000000004</v>
      </c>
      <c r="J13" s="319">
        <f>Jul!AM15</f>
        <v>18.400000000000006</v>
      </c>
      <c r="K13" s="319">
        <f>Aug!AM15</f>
        <v>16.000000000000004</v>
      </c>
      <c r="L13" s="319">
        <f>Sep!AM15</f>
        <v>17.600000000000005</v>
      </c>
      <c r="M13" s="319">
        <f>Okt!AM15</f>
        <v>18.400000000000006</v>
      </c>
      <c r="N13" s="319">
        <f>Nov!AM15</f>
        <v>16.000000000000004</v>
      </c>
      <c r="O13" s="319">
        <f>Dez!AM15</f>
        <v>16.000000000000004</v>
      </c>
      <c r="P13" s="339">
        <f t="shared" si="0"/>
        <v>200.80000000000004</v>
      </c>
    </row>
    <row r="14" spans="1:18" ht="3.75" customHeight="1" x14ac:dyDescent="0.2">
      <c r="A14" s="211"/>
      <c r="B14" s="240"/>
      <c r="C14" s="241"/>
      <c r="D14" s="241"/>
      <c r="E14" s="241"/>
      <c r="F14" s="241"/>
      <c r="G14" s="241"/>
      <c r="H14" s="241"/>
      <c r="I14" s="241"/>
      <c r="J14" s="241"/>
      <c r="K14" s="241"/>
      <c r="L14" s="241"/>
      <c r="M14" s="241"/>
      <c r="N14" s="241"/>
      <c r="O14" s="241"/>
      <c r="P14" s="241"/>
    </row>
    <row r="15" spans="1:18" ht="12.75" customHeight="1" x14ac:dyDescent="0.2">
      <c r="A15" s="246"/>
      <c r="B15" s="587" t="s">
        <v>64</v>
      </c>
      <c r="C15" s="320" t="s">
        <v>27</v>
      </c>
      <c r="D15" s="319">
        <f>Jan!AM26</f>
        <v>0</v>
      </c>
      <c r="E15" s="319">
        <f>Feb!AM26</f>
        <v>0</v>
      </c>
      <c r="F15" s="319">
        <f>Mär!AM26</f>
        <v>0</v>
      </c>
      <c r="G15" s="319">
        <f>Apr!AM26</f>
        <v>0</v>
      </c>
      <c r="H15" s="319">
        <f>Mai!AM26</f>
        <v>0</v>
      </c>
      <c r="I15" s="319">
        <f>Jun!AM26</f>
        <v>0</v>
      </c>
      <c r="J15" s="319">
        <f>Jul!AM26</f>
        <v>0</v>
      </c>
      <c r="K15" s="319">
        <f>Aug!AM26</f>
        <v>0</v>
      </c>
      <c r="L15" s="319">
        <f>Sep!AM26</f>
        <v>0</v>
      </c>
      <c r="M15" s="319">
        <f>Okt!AM26</f>
        <v>0</v>
      </c>
      <c r="N15" s="319">
        <f>Nov!AM26</f>
        <v>0</v>
      </c>
      <c r="O15" s="319">
        <f>Dez!AM26</f>
        <v>0</v>
      </c>
      <c r="P15" s="339">
        <f t="shared" si="0"/>
        <v>0</v>
      </c>
    </row>
    <row r="16" spans="1:18" ht="12.75" customHeight="1" x14ac:dyDescent="0.2">
      <c r="A16" s="246"/>
      <c r="B16" s="587"/>
      <c r="C16" s="320" t="s">
        <v>22</v>
      </c>
      <c r="D16" s="319">
        <f>Jan!AM27</f>
        <v>0</v>
      </c>
      <c r="E16" s="319">
        <f>Feb!AM27</f>
        <v>0</v>
      </c>
      <c r="F16" s="319">
        <f>Mär!AM27</f>
        <v>0</v>
      </c>
      <c r="G16" s="319">
        <f>Apr!AM27</f>
        <v>0</v>
      </c>
      <c r="H16" s="319">
        <f>Mai!AM27</f>
        <v>0</v>
      </c>
      <c r="I16" s="319">
        <f>Jun!AM27</f>
        <v>0</v>
      </c>
      <c r="J16" s="319">
        <f>Jul!AM27</f>
        <v>0</v>
      </c>
      <c r="K16" s="319">
        <f>Aug!AM27</f>
        <v>0</v>
      </c>
      <c r="L16" s="319">
        <f>Sep!AM27</f>
        <v>0</v>
      </c>
      <c r="M16" s="319">
        <f>Okt!AM27</f>
        <v>0</v>
      </c>
      <c r="N16" s="319">
        <f>Nov!AM27</f>
        <v>0</v>
      </c>
      <c r="O16" s="319">
        <f>Dez!AM27</f>
        <v>0</v>
      </c>
      <c r="P16" s="339">
        <f t="shared" si="0"/>
        <v>0</v>
      </c>
    </row>
    <row r="17" spans="1:17" ht="3.75" customHeight="1" x14ac:dyDescent="0.2">
      <c r="A17" s="250"/>
      <c r="B17" s="251"/>
      <c r="C17" s="252"/>
      <c r="D17" s="252"/>
      <c r="E17" s="252"/>
      <c r="F17" s="252"/>
      <c r="G17" s="252"/>
      <c r="H17" s="252"/>
      <c r="I17" s="252"/>
      <c r="J17" s="252"/>
      <c r="K17" s="252"/>
      <c r="L17" s="252"/>
      <c r="M17" s="252"/>
      <c r="N17" s="252"/>
      <c r="O17" s="252"/>
      <c r="P17" s="252"/>
    </row>
    <row r="18" spans="1:17" ht="12.75" customHeight="1" x14ac:dyDescent="0.2">
      <c r="A18" s="166"/>
      <c r="B18" s="570" t="s">
        <v>77</v>
      </c>
      <c r="C18" s="318" t="s">
        <v>5</v>
      </c>
      <c r="D18" s="319">
        <f>Jan!AM30</f>
        <v>0</v>
      </c>
      <c r="E18" s="319">
        <f>Feb!AM30</f>
        <v>0</v>
      </c>
      <c r="F18" s="319">
        <f>Mär!AM30</f>
        <v>0</v>
      </c>
      <c r="G18" s="319">
        <f>Apr!AM30</f>
        <v>0</v>
      </c>
      <c r="H18" s="319">
        <f>Mai!AM30</f>
        <v>0</v>
      </c>
      <c r="I18" s="319">
        <f>Jun!AM30</f>
        <v>0</v>
      </c>
      <c r="J18" s="319">
        <f>Jul!AM30</f>
        <v>0</v>
      </c>
      <c r="K18" s="319">
        <f>Aug!AM30</f>
        <v>0</v>
      </c>
      <c r="L18" s="319">
        <f>Sep!AM30</f>
        <v>0</v>
      </c>
      <c r="M18" s="319">
        <f>Okt!AM30</f>
        <v>0</v>
      </c>
      <c r="N18" s="319">
        <f>Nov!AM30</f>
        <v>0</v>
      </c>
      <c r="O18" s="319">
        <f>Dez!AM30</f>
        <v>0</v>
      </c>
      <c r="P18" s="339">
        <f t="shared" si="0"/>
        <v>0</v>
      </c>
    </row>
    <row r="19" spans="1:17" ht="12.75" customHeight="1" x14ac:dyDescent="0.2">
      <c r="A19" s="250"/>
      <c r="B19" s="571"/>
      <c r="C19" s="318" t="s">
        <v>205</v>
      </c>
      <c r="D19" s="319">
        <f>Jan!AM31</f>
        <v>0</v>
      </c>
      <c r="E19" s="319">
        <f>Feb!AM31</f>
        <v>0</v>
      </c>
      <c r="F19" s="319">
        <f>Mär!AM31</f>
        <v>0</v>
      </c>
      <c r="G19" s="319">
        <f>Apr!AM31</f>
        <v>0</v>
      </c>
      <c r="H19" s="319">
        <f>Mai!AM31</f>
        <v>0</v>
      </c>
      <c r="I19" s="319">
        <f>Jun!AM31</f>
        <v>0</v>
      </c>
      <c r="J19" s="319">
        <f>Jul!AM31</f>
        <v>0</v>
      </c>
      <c r="K19" s="319">
        <f>Aug!AM31</f>
        <v>0</v>
      </c>
      <c r="L19" s="319">
        <f>Sep!AM31</f>
        <v>0</v>
      </c>
      <c r="M19" s="319">
        <f>Okt!AM31</f>
        <v>0</v>
      </c>
      <c r="N19" s="319">
        <f>Nov!AM31</f>
        <v>0</v>
      </c>
      <c r="O19" s="319">
        <f>Dez!AM31</f>
        <v>0</v>
      </c>
      <c r="P19" s="339">
        <f t="shared" si="0"/>
        <v>0</v>
      </c>
    </row>
    <row r="20" spans="1:17" ht="12.75" customHeight="1" x14ac:dyDescent="0.2">
      <c r="A20" s="250"/>
      <c r="B20" s="571"/>
      <c r="C20" s="318" t="s">
        <v>134</v>
      </c>
      <c r="D20" s="319">
        <f>Jan!AM32</f>
        <v>0</v>
      </c>
      <c r="E20" s="319">
        <f>Feb!AM32</f>
        <v>0</v>
      </c>
      <c r="F20" s="319">
        <f>Mär!AM32</f>
        <v>0</v>
      </c>
      <c r="G20" s="319">
        <f>Apr!AM32</f>
        <v>0</v>
      </c>
      <c r="H20" s="319">
        <f>Mai!AM32</f>
        <v>0</v>
      </c>
      <c r="I20" s="319">
        <f>Jun!AM32</f>
        <v>0</v>
      </c>
      <c r="J20" s="319">
        <f>Jul!AM32</f>
        <v>0</v>
      </c>
      <c r="K20" s="319">
        <f>Aug!AM32</f>
        <v>0</v>
      </c>
      <c r="L20" s="319">
        <f>Sep!AM32</f>
        <v>0</v>
      </c>
      <c r="M20" s="319">
        <f>Okt!AM32</f>
        <v>0</v>
      </c>
      <c r="N20" s="319">
        <f>Nov!AM32</f>
        <v>0</v>
      </c>
      <c r="O20" s="319">
        <f>Dez!AM32</f>
        <v>0</v>
      </c>
      <c r="P20" s="339">
        <f t="shared" si="0"/>
        <v>0</v>
      </c>
    </row>
    <row r="21" spans="1:17" ht="12.75" customHeight="1" x14ac:dyDescent="0.2">
      <c r="A21" s="250"/>
      <c r="B21" s="571"/>
      <c r="C21" s="318" t="s">
        <v>131</v>
      </c>
      <c r="D21" s="319">
        <f>Jan!AM33</f>
        <v>0</v>
      </c>
      <c r="E21" s="319">
        <f>Feb!AM33</f>
        <v>0</v>
      </c>
      <c r="F21" s="319">
        <f>Mär!AM33</f>
        <v>0</v>
      </c>
      <c r="G21" s="319">
        <f>Apr!AM33</f>
        <v>0</v>
      </c>
      <c r="H21" s="319">
        <f>Mai!AM33</f>
        <v>0</v>
      </c>
      <c r="I21" s="319">
        <f>Jun!AM33</f>
        <v>0</v>
      </c>
      <c r="J21" s="319">
        <f>Jul!AM33</f>
        <v>0</v>
      </c>
      <c r="K21" s="319">
        <f>Aug!AM33</f>
        <v>0</v>
      </c>
      <c r="L21" s="319">
        <f>Sep!AM33</f>
        <v>0</v>
      </c>
      <c r="M21" s="319">
        <f>Okt!AM33</f>
        <v>0</v>
      </c>
      <c r="N21" s="319">
        <f>Nov!AM33</f>
        <v>0</v>
      </c>
      <c r="O21" s="319">
        <f>Dez!AM33</f>
        <v>0</v>
      </c>
      <c r="P21" s="339">
        <f t="shared" si="0"/>
        <v>0</v>
      </c>
    </row>
    <row r="22" spans="1:17" ht="12.75" customHeight="1" x14ac:dyDescent="0.2">
      <c r="A22" s="250"/>
      <c r="B22" s="571"/>
      <c r="C22" s="318" t="s">
        <v>137</v>
      </c>
      <c r="D22" s="319">
        <f>Jan!AM34</f>
        <v>0</v>
      </c>
      <c r="E22" s="319">
        <f>Feb!AM34</f>
        <v>0</v>
      </c>
      <c r="F22" s="319">
        <f>Mär!AM34</f>
        <v>0</v>
      </c>
      <c r="G22" s="319">
        <f>Apr!AM34</f>
        <v>0</v>
      </c>
      <c r="H22" s="319">
        <f>Mai!AM34</f>
        <v>0</v>
      </c>
      <c r="I22" s="319">
        <f>Jun!AM34</f>
        <v>0</v>
      </c>
      <c r="J22" s="319">
        <f>Jul!AM34</f>
        <v>0</v>
      </c>
      <c r="K22" s="319">
        <f>Aug!AM34</f>
        <v>0</v>
      </c>
      <c r="L22" s="319">
        <f>Sep!AM34</f>
        <v>0</v>
      </c>
      <c r="M22" s="319">
        <f>Okt!AM34</f>
        <v>0</v>
      </c>
      <c r="N22" s="319">
        <f>Nov!AM34</f>
        <v>0</v>
      </c>
      <c r="O22" s="319">
        <f>Dez!AM34</f>
        <v>0</v>
      </c>
      <c r="P22" s="339">
        <f t="shared" si="0"/>
        <v>0</v>
      </c>
    </row>
    <row r="23" spans="1:17" ht="12.75" customHeight="1" x14ac:dyDescent="0.2">
      <c r="A23" s="250"/>
      <c r="B23" s="571"/>
      <c r="C23" s="321" t="s">
        <v>138</v>
      </c>
      <c r="D23" s="319">
        <f>Jan!AM35</f>
        <v>0</v>
      </c>
      <c r="E23" s="319">
        <f>Feb!AM35</f>
        <v>0</v>
      </c>
      <c r="F23" s="319">
        <f>Mär!AM35</f>
        <v>0</v>
      </c>
      <c r="G23" s="319">
        <f>Apr!AM35</f>
        <v>0</v>
      </c>
      <c r="H23" s="319">
        <f>Mai!AM35</f>
        <v>0</v>
      </c>
      <c r="I23" s="319">
        <f>Jun!AM35</f>
        <v>0</v>
      </c>
      <c r="J23" s="319">
        <f>Jul!AM35</f>
        <v>0</v>
      </c>
      <c r="K23" s="319">
        <f>Aug!AM35</f>
        <v>0</v>
      </c>
      <c r="L23" s="319">
        <f>Sep!AM35</f>
        <v>0</v>
      </c>
      <c r="M23" s="319">
        <f>Okt!AM35</f>
        <v>0</v>
      </c>
      <c r="N23" s="319">
        <f>Nov!AM35</f>
        <v>0</v>
      </c>
      <c r="O23" s="319">
        <f>Dez!AM35</f>
        <v>0</v>
      </c>
      <c r="P23" s="339">
        <f t="shared" si="0"/>
        <v>0</v>
      </c>
    </row>
    <row r="24" spans="1:17" ht="12.75" customHeight="1" x14ac:dyDescent="0.2">
      <c r="A24" s="250"/>
      <c r="B24" s="571"/>
      <c r="C24" s="318" t="s">
        <v>66</v>
      </c>
      <c r="D24" s="319">
        <f>Jan!AM36</f>
        <v>0</v>
      </c>
      <c r="E24" s="319">
        <f>Feb!AM36</f>
        <v>0</v>
      </c>
      <c r="F24" s="319">
        <f>Mär!AM36</f>
        <v>0</v>
      </c>
      <c r="G24" s="319">
        <f>Apr!AM36</f>
        <v>0</v>
      </c>
      <c r="H24" s="319">
        <f>Mai!AM36</f>
        <v>0</v>
      </c>
      <c r="I24" s="319">
        <f>Jun!AM36</f>
        <v>0</v>
      </c>
      <c r="J24" s="319">
        <f>Jul!AM36</f>
        <v>0</v>
      </c>
      <c r="K24" s="319">
        <f>Aug!AM36</f>
        <v>0</v>
      </c>
      <c r="L24" s="319">
        <f>Sep!AM36</f>
        <v>0</v>
      </c>
      <c r="M24" s="319">
        <f>Okt!AM36</f>
        <v>0</v>
      </c>
      <c r="N24" s="319">
        <f>Nov!AM36</f>
        <v>0</v>
      </c>
      <c r="O24" s="319">
        <f>Dez!AM36</f>
        <v>0</v>
      </c>
      <c r="P24" s="339">
        <f t="shared" si="0"/>
        <v>0</v>
      </c>
    </row>
    <row r="25" spans="1:17" ht="12.75" customHeight="1" x14ac:dyDescent="0.2">
      <c r="A25" s="250"/>
      <c r="B25" s="571"/>
      <c r="C25" s="318" t="s">
        <v>15</v>
      </c>
      <c r="D25" s="319">
        <f>Jan!AM37</f>
        <v>0</v>
      </c>
      <c r="E25" s="319">
        <f>Feb!AM37</f>
        <v>0</v>
      </c>
      <c r="F25" s="319">
        <f>Mär!AM37</f>
        <v>0</v>
      </c>
      <c r="G25" s="319">
        <f>Apr!AM37</f>
        <v>0</v>
      </c>
      <c r="H25" s="319">
        <f>Mai!AM37</f>
        <v>0</v>
      </c>
      <c r="I25" s="319">
        <f>Jun!AM37</f>
        <v>0</v>
      </c>
      <c r="J25" s="319">
        <f>Jul!AM37</f>
        <v>0</v>
      </c>
      <c r="K25" s="319">
        <f>Aug!AM37</f>
        <v>0</v>
      </c>
      <c r="L25" s="319">
        <f>Sep!AM37</f>
        <v>0</v>
      </c>
      <c r="M25" s="319">
        <f>Okt!AM37</f>
        <v>0</v>
      </c>
      <c r="N25" s="319">
        <f>Nov!AM37</f>
        <v>0</v>
      </c>
      <c r="O25" s="319">
        <f>Dez!AM37</f>
        <v>0</v>
      </c>
      <c r="P25" s="339">
        <f t="shared" si="0"/>
        <v>0</v>
      </c>
    </row>
    <row r="26" spans="1:17" ht="12.75" customHeight="1" x14ac:dyDescent="0.2">
      <c r="A26" s="250"/>
      <c r="B26" s="572"/>
      <c r="C26" s="318" t="s">
        <v>17</v>
      </c>
      <c r="D26" s="319">
        <f>Jan!AM38</f>
        <v>0</v>
      </c>
      <c r="E26" s="319">
        <f>Feb!AM38</f>
        <v>0</v>
      </c>
      <c r="F26" s="319">
        <f>Mär!AM38</f>
        <v>0</v>
      </c>
      <c r="G26" s="319">
        <f>Apr!AM38</f>
        <v>0</v>
      </c>
      <c r="H26" s="319">
        <f>Mai!AM38</f>
        <v>0</v>
      </c>
      <c r="I26" s="319">
        <f>Jun!AM38</f>
        <v>0</v>
      </c>
      <c r="J26" s="319">
        <f>Jul!AM38</f>
        <v>0</v>
      </c>
      <c r="K26" s="319">
        <f>Aug!AM38</f>
        <v>0</v>
      </c>
      <c r="L26" s="319">
        <f>Sep!AM38</f>
        <v>0</v>
      </c>
      <c r="M26" s="319">
        <f>Okt!AM38</f>
        <v>0</v>
      </c>
      <c r="N26" s="319">
        <f>Nov!AM38</f>
        <v>0</v>
      </c>
      <c r="O26" s="319">
        <f>Dez!AM38</f>
        <v>0</v>
      </c>
      <c r="P26" s="339">
        <f t="shared" si="0"/>
        <v>0</v>
      </c>
    </row>
    <row r="27" spans="1:17" ht="12.75" customHeight="1" x14ac:dyDescent="0.2">
      <c r="A27" s="250"/>
      <c r="B27" s="458" t="s">
        <v>266</v>
      </c>
      <c r="C27" s="262" t="s">
        <v>168</v>
      </c>
      <c r="D27" s="322">
        <f>Jan!AM39</f>
        <v>4</v>
      </c>
      <c r="E27" s="322">
        <f>Feb!AM39</f>
        <v>4</v>
      </c>
      <c r="F27" s="322">
        <f>Mär!AM39</f>
        <v>5</v>
      </c>
      <c r="G27" s="322">
        <f>Apr!AM39</f>
        <v>4</v>
      </c>
      <c r="H27" s="322">
        <f>Mai!AM39</f>
        <v>5</v>
      </c>
      <c r="I27" s="322">
        <f>Jun!AM39</f>
        <v>4</v>
      </c>
      <c r="J27" s="322">
        <f>Jul!AM39</f>
        <v>4</v>
      </c>
      <c r="K27" s="322">
        <f>Aug!AM39</f>
        <v>5</v>
      </c>
      <c r="L27" s="322">
        <f>Sep!AM39</f>
        <v>4</v>
      </c>
      <c r="M27" s="322">
        <f>Okt!AM39</f>
        <v>4</v>
      </c>
      <c r="N27" s="322">
        <f>Nov!AM39</f>
        <v>5</v>
      </c>
      <c r="O27" s="322">
        <f>Dez!AM39</f>
        <v>4</v>
      </c>
      <c r="P27" s="323">
        <f t="shared" si="0"/>
        <v>52</v>
      </c>
    </row>
    <row r="28" spans="1:17" ht="12.75" customHeight="1" x14ac:dyDescent="0.2">
      <c r="A28" s="250"/>
      <c r="B28" s="459" t="s">
        <v>267</v>
      </c>
      <c r="C28" s="266" t="s">
        <v>170</v>
      </c>
      <c r="D28" s="324">
        <f>Jan!AM40</f>
        <v>21</v>
      </c>
      <c r="E28" s="324">
        <f>Feb!AM40</f>
        <v>20</v>
      </c>
      <c r="F28" s="324">
        <f>Mär!AM40</f>
        <v>21</v>
      </c>
      <c r="G28" s="324">
        <f>Apr!AM40</f>
        <v>20</v>
      </c>
      <c r="H28" s="324">
        <f>Mai!AM40</f>
        <v>21</v>
      </c>
      <c r="I28" s="324">
        <f>Jun!AM40</f>
        <v>20</v>
      </c>
      <c r="J28" s="324">
        <f>Jul!AM40</f>
        <v>23</v>
      </c>
      <c r="K28" s="324">
        <f>Aug!AM40</f>
        <v>20</v>
      </c>
      <c r="L28" s="324">
        <f>Sep!AM40</f>
        <v>22</v>
      </c>
      <c r="M28" s="324">
        <f>Okt!AM40</f>
        <v>23</v>
      </c>
      <c r="N28" s="324">
        <f>Nov!AM40</f>
        <v>20</v>
      </c>
      <c r="O28" s="324">
        <f>Dez!AM40</f>
        <v>20</v>
      </c>
      <c r="P28" s="325">
        <f t="shared" si="0"/>
        <v>251</v>
      </c>
    </row>
    <row r="29" spans="1:17" ht="12.75" customHeight="1" thickBot="1" x14ac:dyDescent="0.25">
      <c r="A29" s="250"/>
      <c r="B29" s="590" t="s">
        <v>254</v>
      </c>
      <c r="C29" s="591"/>
      <c r="D29" s="326">
        <f>Jan!AM41</f>
        <v>0</v>
      </c>
      <c r="E29" s="326">
        <f>Feb!AM41</f>
        <v>0</v>
      </c>
      <c r="F29" s="326">
        <f>Mär!AM41</f>
        <v>0</v>
      </c>
      <c r="G29" s="326">
        <f>Apr!AM41</f>
        <v>0</v>
      </c>
      <c r="H29" s="326">
        <f>Mai!AM41</f>
        <v>0</v>
      </c>
      <c r="I29" s="326">
        <f>Jun!AM41</f>
        <v>0</v>
      </c>
      <c r="J29" s="326">
        <f>Jul!AM41</f>
        <v>0</v>
      </c>
      <c r="K29" s="326">
        <f>Aug!AM41</f>
        <v>0</v>
      </c>
      <c r="L29" s="326">
        <f>Sep!AM41</f>
        <v>0</v>
      </c>
      <c r="M29" s="326">
        <f>Okt!AM41</f>
        <v>0</v>
      </c>
      <c r="N29" s="326">
        <f>Nov!AM41</f>
        <v>0</v>
      </c>
      <c r="O29" s="326">
        <f>Dez!AM41</f>
        <v>0</v>
      </c>
      <c r="P29" s="526">
        <f t="shared" si="0"/>
        <v>0</v>
      </c>
    </row>
    <row r="30" spans="1:17" ht="12.75" customHeight="1" thickBot="1" x14ac:dyDescent="0.25">
      <c r="A30" s="250"/>
      <c r="B30" s="563" t="s">
        <v>113</v>
      </c>
      <c r="C30" s="277" t="str">
        <f t="shared" ref="C30:C38" si="1">C18</f>
        <v>Ferien</v>
      </c>
      <c r="D30" s="327">
        <f>Jan!AM42</f>
        <v>0</v>
      </c>
      <c r="E30" s="327">
        <f>Feb!AM42</f>
        <v>0</v>
      </c>
      <c r="F30" s="327">
        <f>Mär!AM42</f>
        <v>0</v>
      </c>
      <c r="G30" s="327">
        <f>Apr!AM42</f>
        <v>0</v>
      </c>
      <c r="H30" s="327">
        <f>Mai!AM42</f>
        <v>0</v>
      </c>
      <c r="I30" s="327">
        <f>Jun!AM42</f>
        <v>0</v>
      </c>
      <c r="J30" s="327">
        <f>Jul!AM42</f>
        <v>0</v>
      </c>
      <c r="K30" s="327">
        <f>Aug!AM42</f>
        <v>0</v>
      </c>
      <c r="L30" s="327">
        <f>Sep!AM42</f>
        <v>0</v>
      </c>
      <c r="M30" s="327">
        <f>Okt!AM42</f>
        <v>0</v>
      </c>
      <c r="N30" s="327">
        <f>Nov!AM42</f>
        <v>0</v>
      </c>
      <c r="O30" s="328">
        <f>Dez!AM42</f>
        <v>0</v>
      </c>
      <c r="P30" s="313">
        <f t="shared" si="0"/>
        <v>0</v>
      </c>
    </row>
    <row r="31" spans="1:17" ht="12.75" customHeight="1" thickBot="1" x14ac:dyDescent="0.25">
      <c r="A31" s="250"/>
      <c r="B31" s="564"/>
      <c r="C31" s="269" t="str">
        <f>C19</f>
        <v>Krank./Unfall (%)</v>
      </c>
      <c r="D31" s="168">
        <f>Jan!AM43</f>
        <v>0</v>
      </c>
      <c r="E31" s="168">
        <f>Feb!AM43</f>
        <v>0</v>
      </c>
      <c r="F31" s="168">
        <f>Mär!AM43</f>
        <v>0</v>
      </c>
      <c r="G31" s="168">
        <f>Apr!AM43</f>
        <v>0</v>
      </c>
      <c r="H31" s="168">
        <f>Mai!AM43</f>
        <v>0</v>
      </c>
      <c r="I31" s="168">
        <f>Jun!AM43</f>
        <v>0</v>
      </c>
      <c r="J31" s="168">
        <f>Jul!AM43</f>
        <v>0</v>
      </c>
      <c r="K31" s="168">
        <f>Aug!AM43</f>
        <v>0</v>
      </c>
      <c r="L31" s="168">
        <f>Sep!AM43</f>
        <v>0</v>
      </c>
      <c r="M31" s="168">
        <f>Okt!AM43</f>
        <v>0</v>
      </c>
      <c r="N31" s="168">
        <f>Nov!AM43</f>
        <v>0</v>
      </c>
      <c r="O31" s="312">
        <f>Dez!AM43</f>
        <v>0</v>
      </c>
      <c r="P31" s="313">
        <f t="shared" si="0"/>
        <v>0</v>
      </c>
    </row>
    <row r="32" spans="1:17" ht="12.75" customHeight="1" thickBot="1" x14ac:dyDescent="0.25">
      <c r="A32" s="250"/>
      <c r="B32" s="564"/>
      <c r="C32" s="269" t="str">
        <f t="shared" si="1"/>
        <v>Kurzurl./öff. Amt</v>
      </c>
      <c r="D32" s="168">
        <f>Jan!AM44</f>
        <v>0</v>
      </c>
      <c r="E32" s="168">
        <f>Feb!AM44</f>
        <v>0</v>
      </c>
      <c r="F32" s="168">
        <f>Mär!AM44</f>
        <v>0</v>
      </c>
      <c r="G32" s="168">
        <f>Apr!AM44</f>
        <v>0</v>
      </c>
      <c r="H32" s="168">
        <f>Mai!AM44</f>
        <v>0</v>
      </c>
      <c r="I32" s="168">
        <f>Jun!AM44</f>
        <v>0</v>
      </c>
      <c r="J32" s="168">
        <f>Jul!AM44</f>
        <v>0</v>
      </c>
      <c r="K32" s="168">
        <f>Aug!AM44</f>
        <v>0</v>
      </c>
      <c r="L32" s="168">
        <f>Sep!AM44</f>
        <v>0</v>
      </c>
      <c r="M32" s="168">
        <f>Okt!AM44</f>
        <v>0</v>
      </c>
      <c r="N32" s="168">
        <f>Nov!AM44</f>
        <v>0</v>
      </c>
      <c r="O32" s="312">
        <f>Dez!AM44</f>
        <v>0</v>
      </c>
      <c r="P32" s="329">
        <f t="shared" si="0"/>
        <v>0</v>
      </c>
      <c r="Q32" s="330"/>
    </row>
    <row r="33" spans="1:17" ht="12.75" customHeight="1" thickBot="1" x14ac:dyDescent="0.25">
      <c r="A33" s="250"/>
      <c r="B33" s="564"/>
      <c r="C33" s="269" t="str">
        <f t="shared" si="1"/>
        <v>Militär/CT/ZS/J&amp;S</v>
      </c>
      <c r="D33" s="168">
        <f>Jan!AM45</f>
        <v>0</v>
      </c>
      <c r="E33" s="168">
        <f>Feb!AM45</f>
        <v>0</v>
      </c>
      <c r="F33" s="168">
        <f>Mär!AM45</f>
        <v>0</v>
      </c>
      <c r="G33" s="168">
        <f>Apr!AM45</f>
        <v>0</v>
      </c>
      <c r="H33" s="168">
        <f>Mai!AM45</f>
        <v>0</v>
      </c>
      <c r="I33" s="168">
        <f>Jun!AM45</f>
        <v>0</v>
      </c>
      <c r="J33" s="168">
        <f>Jul!AM45</f>
        <v>0</v>
      </c>
      <c r="K33" s="168">
        <f>Aug!AM45</f>
        <v>0</v>
      </c>
      <c r="L33" s="168">
        <f>Sep!AM45</f>
        <v>0</v>
      </c>
      <c r="M33" s="168">
        <f>Okt!AM45</f>
        <v>0</v>
      </c>
      <c r="N33" s="168">
        <f>Nov!AM45</f>
        <v>0</v>
      </c>
      <c r="O33" s="312">
        <f>Dez!AM45</f>
        <v>0</v>
      </c>
      <c r="P33" s="329">
        <f t="shared" si="0"/>
        <v>0</v>
      </c>
      <c r="Q33" s="330"/>
    </row>
    <row r="34" spans="1:17" ht="12.75" customHeight="1" thickBot="1" x14ac:dyDescent="0.25">
      <c r="A34" s="250"/>
      <c r="B34" s="564"/>
      <c r="C34" s="269" t="str">
        <f t="shared" si="1"/>
        <v>Weiterbildung</v>
      </c>
      <c r="D34" s="168">
        <f>Jan!AM46</f>
        <v>0</v>
      </c>
      <c r="E34" s="168">
        <f>Feb!AM46</f>
        <v>0</v>
      </c>
      <c r="F34" s="168">
        <f>Mär!AM46</f>
        <v>0</v>
      </c>
      <c r="G34" s="168">
        <f>Apr!AM46</f>
        <v>0</v>
      </c>
      <c r="H34" s="168">
        <f>Mai!AM46</f>
        <v>0</v>
      </c>
      <c r="I34" s="168">
        <f>Jun!AM46</f>
        <v>0</v>
      </c>
      <c r="J34" s="168">
        <f>Jul!AM46</f>
        <v>0</v>
      </c>
      <c r="K34" s="168">
        <f>Aug!AM46</f>
        <v>0</v>
      </c>
      <c r="L34" s="168">
        <f>Sep!AM46</f>
        <v>0</v>
      </c>
      <c r="M34" s="168">
        <f>Okt!AM46</f>
        <v>0</v>
      </c>
      <c r="N34" s="168">
        <f>Nov!AM46</f>
        <v>0</v>
      </c>
      <c r="O34" s="312">
        <f>Dez!AM46</f>
        <v>0</v>
      </c>
      <c r="P34" s="313">
        <f t="shared" si="0"/>
        <v>0</v>
      </c>
    </row>
    <row r="35" spans="1:17" ht="12.75" customHeight="1" thickBot="1" x14ac:dyDescent="0.25">
      <c r="A35" s="250"/>
      <c r="B35" s="564"/>
      <c r="C35" s="269" t="str">
        <f t="shared" si="1"/>
        <v>Studienurlaub</v>
      </c>
      <c r="D35" s="168">
        <f>Jan!AM47</f>
        <v>0</v>
      </c>
      <c r="E35" s="168">
        <f>Feb!AM47</f>
        <v>0</v>
      </c>
      <c r="F35" s="168">
        <f>Mär!AM47</f>
        <v>0</v>
      </c>
      <c r="G35" s="168">
        <f>Apr!AM47</f>
        <v>0</v>
      </c>
      <c r="H35" s="168">
        <f>Mai!AM47</f>
        <v>0</v>
      </c>
      <c r="I35" s="168">
        <f>Jun!AM47</f>
        <v>0</v>
      </c>
      <c r="J35" s="168">
        <f>Jul!AM47</f>
        <v>0</v>
      </c>
      <c r="K35" s="168">
        <f>Aug!AM47</f>
        <v>0</v>
      </c>
      <c r="L35" s="168">
        <f>Sep!AM47</f>
        <v>0</v>
      </c>
      <c r="M35" s="168">
        <f>Okt!AM47</f>
        <v>0</v>
      </c>
      <c r="N35" s="168">
        <f>Nov!AM47</f>
        <v>0</v>
      </c>
      <c r="O35" s="312">
        <f>Dez!AM47</f>
        <v>0</v>
      </c>
      <c r="P35" s="331">
        <f t="shared" si="0"/>
        <v>0</v>
      </c>
    </row>
    <row r="36" spans="1:17" ht="12.75" customHeight="1" thickBot="1" x14ac:dyDescent="0.25">
      <c r="A36" s="250"/>
      <c r="B36" s="564"/>
      <c r="C36" s="269" t="str">
        <f t="shared" si="1"/>
        <v>Mu-/Vat.</v>
      </c>
      <c r="D36" s="168">
        <f>Jan!AM48</f>
        <v>0</v>
      </c>
      <c r="E36" s="168">
        <f>Feb!AM48</f>
        <v>0</v>
      </c>
      <c r="F36" s="168">
        <f>Mär!AM48</f>
        <v>0</v>
      </c>
      <c r="G36" s="168">
        <f>Apr!AM48</f>
        <v>0</v>
      </c>
      <c r="H36" s="168">
        <f>Mai!AM48</f>
        <v>0</v>
      </c>
      <c r="I36" s="168">
        <f>Jun!AM48</f>
        <v>0</v>
      </c>
      <c r="J36" s="168">
        <f>Jul!AM48</f>
        <v>0</v>
      </c>
      <c r="K36" s="168">
        <f>Aug!AM48</f>
        <v>0</v>
      </c>
      <c r="L36" s="168">
        <f>Sep!AM48</f>
        <v>0</v>
      </c>
      <c r="M36" s="168">
        <f>Okt!AM48</f>
        <v>0</v>
      </c>
      <c r="N36" s="168">
        <f>Nov!AM48</f>
        <v>0</v>
      </c>
      <c r="O36" s="312">
        <f>Dez!AM48</f>
        <v>0</v>
      </c>
      <c r="P36" s="313">
        <f t="shared" si="0"/>
        <v>0</v>
      </c>
    </row>
    <row r="37" spans="1:17" ht="12.75" customHeight="1" thickBot="1" x14ac:dyDescent="0.25">
      <c r="A37" s="250"/>
      <c r="B37" s="564"/>
      <c r="C37" s="269" t="str">
        <f t="shared" si="1"/>
        <v>Treueprämie</v>
      </c>
      <c r="D37" s="168">
        <f>Jan!AM49</f>
        <v>0</v>
      </c>
      <c r="E37" s="168">
        <f>Feb!AM49</f>
        <v>0</v>
      </c>
      <c r="F37" s="168">
        <f>Mär!AM49</f>
        <v>0</v>
      </c>
      <c r="G37" s="168">
        <f>Apr!AM49</f>
        <v>0</v>
      </c>
      <c r="H37" s="168">
        <f>Mai!AM49</f>
        <v>0</v>
      </c>
      <c r="I37" s="168">
        <f>Jun!AM49</f>
        <v>0</v>
      </c>
      <c r="J37" s="168">
        <f>Jul!AM49</f>
        <v>0</v>
      </c>
      <c r="K37" s="168">
        <f>Aug!AM49</f>
        <v>0</v>
      </c>
      <c r="L37" s="168">
        <f>Sep!AM49</f>
        <v>0</v>
      </c>
      <c r="M37" s="168">
        <f>Okt!AM49</f>
        <v>0</v>
      </c>
      <c r="N37" s="168">
        <f>Nov!AM49</f>
        <v>0</v>
      </c>
      <c r="O37" s="312">
        <f>Dez!AM49</f>
        <v>0</v>
      </c>
      <c r="P37" s="313">
        <f t="shared" si="0"/>
        <v>0</v>
      </c>
    </row>
    <row r="38" spans="1:17" ht="12.75" customHeight="1" thickBot="1" x14ac:dyDescent="0.25">
      <c r="A38" s="250"/>
      <c r="B38" s="564"/>
      <c r="C38" s="269" t="str">
        <f t="shared" si="1"/>
        <v>Langzeitkonto</v>
      </c>
      <c r="D38" s="168">
        <f>Jan!AM50</f>
        <v>0</v>
      </c>
      <c r="E38" s="168">
        <f>Feb!AM50</f>
        <v>0</v>
      </c>
      <c r="F38" s="168">
        <f>Mär!AM50</f>
        <v>0</v>
      </c>
      <c r="G38" s="168">
        <f>Apr!AM50</f>
        <v>0</v>
      </c>
      <c r="H38" s="168">
        <f>Mai!AM50</f>
        <v>0</v>
      </c>
      <c r="I38" s="168">
        <f>Jun!AM50</f>
        <v>0</v>
      </c>
      <c r="J38" s="168">
        <f>Jul!AM50</f>
        <v>0</v>
      </c>
      <c r="K38" s="168">
        <f>Aug!AM50</f>
        <v>0</v>
      </c>
      <c r="L38" s="168">
        <f>Sep!AM50</f>
        <v>0</v>
      </c>
      <c r="M38" s="168">
        <f>Okt!AM50</f>
        <v>0</v>
      </c>
      <c r="N38" s="168">
        <f>Nov!AM50</f>
        <v>0</v>
      </c>
      <c r="O38" s="312">
        <f>Dez!AM50</f>
        <v>0</v>
      </c>
      <c r="P38" s="329">
        <f t="shared" si="0"/>
        <v>0</v>
      </c>
      <c r="Q38" s="330"/>
    </row>
    <row r="39" spans="1:17" ht="12.75" customHeight="1" thickBot="1" x14ac:dyDescent="0.25">
      <c r="A39" s="250"/>
      <c r="B39" s="564"/>
      <c r="C39" s="269" t="s">
        <v>168</v>
      </c>
      <c r="D39" s="168">
        <f>Jan!AM51</f>
        <v>33.6</v>
      </c>
      <c r="E39" s="168">
        <f>Feb!AM51</f>
        <v>33.6</v>
      </c>
      <c r="F39" s="168">
        <f>Mär!AM51</f>
        <v>42</v>
      </c>
      <c r="G39" s="168">
        <f>Apr!AM51</f>
        <v>33.6</v>
      </c>
      <c r="H39" s="168">
        <f>Mai!AM51</f>
        <v>42</v>
      </c>
      <c r="I39" s="168">
        <f>Jun!AM51</f>
        <v>33.6</v>
      </c>
      <c r="J39" s="168">
        <f>Jul!AM51</f>
        <v>33.6</v>
      </c>
      <c r="K39" s="168">
        <f>Aug!AM51</f>
        <v>42</v>
      </c>
      <c r="L39" s="168">
        <f>Sep!AM51</f>
        <v>33.6</v>
      </c>
      <c r="M39" s="168">
        <f>Okt!AM51</f>
        <v>33.6</v>
      </c>
      <c r="N39" s="168">
        <f>Nov!AM51</f>
        <v>42</v>
      </c>
      <c r="O39" s="312">
        <f>Dez!AM51</f>
        <v>33.6</v>
      </c>
      <c r="P39" s="313">
        <f t="shared" si="0"/>
        <v>436.80000000000007</v>
      </c>
    </row>
    <row r="40" spans="1:17" ht="12.75" customHeight="1" thickBot="1" x14ac:dyDescent="0.25">
      <c r="A40" s="250"/>
      <c r="B40" s="564"/>
      <c r="C40" s="269" t="s">
        <v>170</v>
      </c>
      <c r="D40" s="168">
        <f>Jan!AM52</f>
        <v>176.40000000000006</v>
      </c>
      <c r="E40" s="168">
        <f>Feb!AM52</f>
        <v>168.00000000000006</v>
      </c>
      <c r="F40" s="168">
        <f>Mär!AM52</f>
        <v>176.40000000000006</v>
      </c>
      <c r="G40" s="168">
        <f>Apr!AM52</f>
        <v>168.00000000000006</v>
      </c>
      <c r="H40" s="168">
        <f>Mai!AM52</f>
        <v>176.40000000000006</v>
      </c>
      <c r="I40" s="168">
        <f>Jun!AM52</f>
        <v>168.00000000000006</v>
      </c>
      <c r="J40" s="168">
        <f>Jul!AM52</f>
        <v>193.20000000000007</v>
      </c>
      <c r="K40" s="168">
        <f>Aug!AM52</f>
        <v>168.00000000000006</v>
      </c>
      <c r="L40" s="168">
        <f>Sep!AM52</f>
        <v>184.80000000000007</v>
      </c>
      <c r="M40" s="168">
        <f>Okt!AM52</f>
        <v>193.20000000000007</v>
      </c>
      <c r="N40" s="168">
        <f>Nov!AM52</f>
        <v>168.00000000000006</v>
      </c>
      <c r="O40" s="312">
        <f>Dez!AM52</f>
        <v>168.00000000000003</v>
      </c>
      <c r="P40" s="313">
        <f t="shared" si="0"/>
        <v>2108.4000000000005</v>
      </c>
    </row>
    <row r="41" spans="1:17" ht="12.75" customHeight="1" thickBot="1" x14ac:dyDescent="0.25">
      <c r="A41" s="250"/>
      <c r="B41" s="564"/>
      <c r="C41" s="269" t="s">
        <v>173</v>
      </c>
      <c r="D41" s="168">
        <f>Jan!AM53</f>
        <v>210.00000000000009</v>
      </c>
      <c r="E41" s="168">
        <f>Feb!AM53</f>
        <v>201.60000000000008</v>
      </c>
      <c r="F41" s="168">
        <f>Mär!AM53</f>
        <v>218.40000000000009</v>
      </c>
      <c r="G41" s="168">
        <f>Apr!AM53</f>
        <v>201.60000000000008</v>
      </c>
      <c r="H41" s="168">
        <f>Mai!AM53</f>
        <v>218.40000000000009</v>
      </c>
      <c r="I41" s="168">
        <f>Jun!AM53</f>
        <v>201.60000000000008</v>
      </c>
      <c r="J41" s="168">
        <f>Jul!AM53</f>
        <v>226.8000000000001</v>
      </c>
      <c r="K41" s="168">
        <f>Aug!AM53</f>
        <v>210.00000000000009</v>
      </c>
      <c r="L41" s="168">
        <f>Sep!AM53</f>
        <v>218.40000000000009</v>
      </c>
      <c r="M41" s="168">
        <f>Okt!AM53</f>
        <v>226.8000000000001</v>
      </c>
      <c r="N41" s="168">
        <f>Nov!AM53</f>
        <v>210.00000000000009</v>
      </c>
      <c r="O41" s="168">
        <f>Dez!AM53</f>
        <v>201.60000000000005</v>
      </c>
      <c r="P41" s="332">
        <f>SUM(D41:O41)</f>
        <v>2545.2000000000007</v>
      </c>
    </row>
    <row r="42" spans="1:17" ht="12.75" customHeight="1" thickBot="1" x14ac:dyDescent="0.25">
      <c r="A42" s="250"/>
      <c r="B42" s="564"/>
      <c r="C42" s="269" t="s">
        <v>220</v>
      </c>
      <c r="D42" s="168">
        <f>Jan!AM54</f>
        <v>0</v>
      </c>
      <c r="E42" s="168">
        <f>Feb!AM54</f>
        <v>0</v>
      </c>
      <c r="F42" s="168">
        <f>Mär!AM54</f>
        <v>0</v>
      </c>
      <c r="G42" s="168">
        <f>Apr!AM54</f>
        <v>0</v>
      </c>
      <c r="H42" s="168">
        <f>Mai!AM54</f>
        <v>0</v>
      </c>
      <c r="I42" s="168">
        <f>Jun!AM54</f>
        <v>0</v>
      </c>
      <c r="J42" s="168">
        <f>Jul!AM54</f>
        <v>0</v>
      </c>
      <c r="K42" s="168">
        <f>Aug!AM54</f>
        <v>0</v>
      </c>
      <c r="L42" s="168">
        <f>Sep!AM54</f>
        <v>0</v>
      </c>
      <c r="M42" s="168">
        <f>Okt!AM54</f>
        <v>0</v>
      </c>
      <c r="N42" s="168">
        <f>Nov!AM54</f>
        <v>0</v>
      </c>
      <c r="O42" s="312">
        <f>Dez!AM54</f>
        <v>0</v>
      </c>
      <c r="P42" s="313">
        <f t="shared" si="0"/>
        <v>0</v>
      </c>
    </row>
    <row r="43" spans="1:17" ht="12.75" customHeight="1" x14ac:dyDescent="0.2">
      <c r="A43" s="250"/>
      <c r="B43" s="565"/>
      <c r="C43" s="269" t="s">
        <v>185</v>
      </c>
      <c r="D43" s="168">
        <f>Jan!AM55</f>
        <v>141.12</v>
      </c>
      <c r="E43" s="168">
        <f>Feb!AM55</f>
        <v>134.4</v>
      </c>
      <c r="F43" s="168">
        <f>Mär!AM55</f>
        <v>141.12</v>
      </c>
      <c r="G43" s="168">
        <f>Apr!AM55</f>
        <v>134.4</v>
      </c>
      <c r="H43" s="168">
        <f>Mai!AM55</f>
        <v>141.12</v>
      </c>
      <c r="I43" s="168">
        <f>Jun!AM55</f>
        <v>134.4</v>
      </c>
      <c r="J43" s="168">
        <f>Jul!AM55</f>
        <v>154.56</v>
      </c>
      <c r="K43" s="168">
        <f>Aug!AM55</f>
        <v>134.4</v>
      </c>
      <c r="L43" s="168">
        <f>Sep!AM55</f>
        <v>147.84</v>
      </c>
      <c r="M43" s="168">
        <f>Okt!AM55</f>
        <v>154.56</v>
      </c>
      <c r="N43" s="168">
        <f>Nov!AM55</f>
        <v>134.4</v>
      </c>
      <c r="O43" s="168">
        <f>Dez!AM55</f>
        <v>134.4</v>
      </c>
      <c r="P43" s="333">
        <f t="shared" si="0"/>
        <v>1686.72</v>
      </c>
    </row>
    <row r="44" spans="1:17" ht="12.75" customHeight="1" x14ac:dyDescent="0.2">
      <c r="A44" s="250"/>
      <c r="B44" s="583" t="s">
        <v>269</v>
      </c>
      <c r="C44" s="278" t="str">
        <f t="shared" ref="C44:C52" si="2">C18</f>
        <v>Ferien</v>
      </c>
      <c r="D44" s="334" t="str">
        <f>Jan!AM56</f>
        <v>0 F</v>
      </c>
      <c r="E44" s="334" t="str">
        <f>Feb!AM56</f>
        <v>0 F</v>
      </c>
      <c r="F44" s="334" t="str">
        <f>Mär!AM56</f>
        <v>0 F</v>
      </c>
      <c r="G44" s="334" t="str">
        <f>Apr!AM56</f>
        <v>0 F</v>
      </c>
      <c r="H44" s="334" t="str">
        <f>Mai!AM56</f>
        <v>0 F</v>
      </c>
      <c r="I44" s="334" t="str">
        <f>Jun!AM56</f>
        <v>0 F</v>
      </c>
      <c r="J44" s="334" t="str">
        <f>Jul!AM56</f>
        <v>0 F</v>
      </c>
      <c r="K44" s="334" t="str">
        <f>Aug!AM56</f>
        <v>0 F</v>
      </c>
      <c r="L44" s="334" t="str">
        <f>Sep!AM56</f>
        <v>0 F</v>
      </c>
      <c r="M44" s="334" t="str">
        <f>Okt!AM56</f>
        <v>0 F</v>
      </c>
      <c r="N44" s="334" t="str">
        <f>Nov!AM56</f>
        <v>0 F</v>
      </c>
      <c r="O44" s="334" t="str">
        <f>Dez!AM56</f>
        <v>0 F</v>
      </c>
      <c r="P44" s="335"/>
    </row>
    <row r="45" spans="1:17" ht="12.75" customHeight="1" x14ac:dyDescent="0.2">
      <c r="A45" s="250"/>
      <c r="B45" s="584"/>
      <c r="C45" s="278" t="str">
        <f t="shared" si="2"/>
        <v>Krank./Unfall (%)</v>
      </c>
      <c r="D45" s="334" t="str">
        <f>Jan!AM57</f>
        <v>0 K</v>
      </c>
      <c r="E45" s="334" t="str">
        <f>Feb!AM57</f>
        <v>0 K</v>
      </c>
      <c r="F45" s="334" t="str">
        <f>Mär!AM57</f>
        <v>0 K</v>
      </c>
      <c r="G45" s="334" t="str">
        <f>Apr!AM57</f>
        <v>0 K</v>
      </c>
      <c r="H45" s="334" t="str">
        <f>Mai!AM57</f>
        <v>0 K</v>
      </c>
      <c r="I45" s="334" t="str">
        <f>Jun!AM57</f>
        <v>0 K</v>
      </c>
      <c r="J45" s="334" t="str">
        <f>Jul!AM57</f>
        <v>0 K</v>
      </c>
      <c r="K45" s="334" t="str">
        <f>Aug!AM57</f>
        <v>0 K</v>
      </c>
      <c r="L45" s="334" t="str">
        <f>Sep!AM57</f>
        <v>0 K</v>
      </c>
      <c r="M45" s="334" t="str">
        <f>Okt!AM57</f>
        <v>0 K</v>
      </c>
      <c r="N45" s="334" t="str">
        <f>Nov!AM57</f>
        <v>0 K</v>
      </c>
      <c r="O45" s="334" t="str">
        <f>Dez!AM57</f>
        <v>0 K</v>
      </c>
      <c r="P45" s="335"/>
    </row>
    <row r="46" spans="1:17" ht="12.75" customHeight="1" x14ac:dyDescent="0.2">
      <c r="A46" s="250"/>
      <c r="B46" s="584"/>
      <c r="C46" s="278" t="str">
        <f t="shared" si="2"/>
        <v>Kurzurl./öff. Amt</v>
      </c>
      <c r="D46" s="334" t="str">
        <f>Jan!AM58</f>
        <v>0 KU</v>
      </c>
      <c r="E46" s="334" t="str">
        <f>Feb!AM58</f>
        <v>0 KU</v>
      </c>
      <c r="F46" s="334" t="str">
        <f>Mär!AM58</f>
        <v>0 KU</v>
      </c>
      <c r="G46" s="334" t="str">
        <f>Apr!AM58</f>
        <v>0 KU</v>
      </c>
      <c r="H46" s="334" t="str">
        <f>Mai!AM58</f>
        <v>0 KU</v>
      </c>
      <c r="I46" s="334" t="str">
        <f>Jun!AM58</f>
        <v>0 KU</v>
      </c>
      <c r="J46" s="334" t="str">
        <f>Jul!AM58</f>
        <v>0 KU</v>
      </c>
      <c r="K46" s="334" t="str">
        <f>Aug!AM58</f>
        <v>0 KU</v>
      </c>
      <c r="L46" s="334" t="str">
        <f>Sep!AM58</f>
        <v>0 KU</v>
      </c>
      <c r="M46" s="334" t="str">
        <f>Okt!AM58</f>
        <v>0 KU</v>
      </c>
      <c r="N46" s="334" t="str">
        <f>Nov!AM58</f>
        <v>0 KU</v>
      </c>
      <c r="O46" s="334" t="str">
        <f>Dez!AM58</f>
        <v>0 KU</v>
      </c>
      <c r="P46" s="335"/>
    </row>
    <row r="47" spans="1:17" ht="12.75" customHeight="1" x14ac:dyDescent="0.2">
      <c r="A47" s="250"/>
      <c r="B47" s="584"/>
      <c r="C47" s="278" t="str">
        <f t="shared" si="2"/>
        <v>Militär/CT/ZS/J&amp;S</v>
      </c>
      <c r="D47" s="334" t="str">
        <f>Jan!AM59</f>
        <v>0 MI</v>
      </c>
      <c r="E47" s="334" t="str">
        <f>Feb!AM59</f>
        <v>0 MI</v>
      </c>
      <c r="F47" s="334" t="str">
        <f>Mär!AM59</f>
        <v>0 MI</v>
      </c>
      <c r="G47" s="334" t="str">
        <f>Apr!AM59</f>
        <v>0 MI</v>
      </c>
      <c r="H47" s="334" t="str">
        <f>Mai!AM59</f>
        <v>0 MI</v>
      </c>
      <c r="I47" s="334" t="str">
        <f>Jun!AM59</f>
        <v>0 MI</v>
      </c>
      <c r="J47" s="334" t="str">
        <f>Jul!AM59</f>
        <v>0 MI</v>
      </c>
      <c r="K47" s="334" t="str">
        <f>Aug!AM59</f>
        <v>0 MI</v>
      </c>
      <c r="L47" s="334" t="str">
        <f>Sep!AM59</f>
        <v>0 MI</v>
      </c>
      <c r="M47" s="334" t="str">
        <f>Okt!AM59</f>
        <v>0 MI</v>
      </c>
      <c r="N47" s="334" t="str">
        <f>Nov!AM59</f>
        <v>0 MI</v>
      </c>
      <c r="O47" s="334" t="str">
        <f>Dez!AM59</f>
        <v>0 MI</v>
      </c>
      <c r="P47" s="335"/>
    </row>
    <row r="48" spans="1:17" ht="12.75" customHeight="1" x14ac:dyDescent="0.2">
      <c r="A48" s="250"/>
      <c r="B48" s="584"/>
      <c r="C48" s="278" t="str">
        <f t="shared" si="2"/>
        <v>Weiterbildung</v>
      </c>
      <c r="D48" s="334" t="str">
        <f>Jan!AM60</f>
        <v>0 WB</v>
      </c>
      <c r="E48" s="334" t="str">
        <f>Feb!AM60</f>
        <v>0 WB</v>
      </c>
      <c r="F48" s="334" t="str">
        <f>Mär!AM60</f>
        <v>0 WB</v>
      </c>
      <c r="G48" s="334" t="str">
        <f>Apr!AM60</f>
        <v>0 WB</v>
      </c>
      <c r="H48" s="334" t="str">
        <f>Mai!AM60</f>
        <v>0 WB</v>
      </c>
      <c r="I48" s="334" t="str">
        <f>Jun!AM60</f>
        <v>0 WB</v>
      </c>
      <c r="J48" s="334" t="str">
        <f>Jul!AM60</f>
        <v>0 WB</v>
      </c>
      <c r="K48" s="334" t="str">
        <f>Aug!AM60</f>
        <v>0 WB</v>
      </c>
      <c r="L48" s="334" t="str">
        <f>Sep!AM60</f>
        <v>0 WB</v>
      </c>
      <c r="M48" s="334" t="str">
        <f>Okt!AM60</f>
        <v>0 WB</v>
      </c>
      <c r="N48" s="334" t="str">
        <f>Nov!AM60</f>
        <v>0 WB</v>
      </c>
      <c r="O48" s="334" t="str">
        <f>Dez!AM60</f>
        <v>0 WB</v>
      </c>
      <c r="P48" s="335"/>
    </row>
    <row r="49" spans="1:16" ht="12.75" customHeight="1" x14ac:dyDescent="0.2">
      <c r="A49" s="250"/>
      <c r="B49" s="584"/>
      <c r="C49" s="278" t="str">
        <f t="shared" si="2"/>
        <v>Studienurlaub</v>
      </c>
      <c r="D49" s="334" t="str">
        <f>Jan!AM61</f>
        <v>0 STU</v>
      </c>
      <c r="E49" s="334" t="str">
        <f>Feb!AM61</f>
        <v>0 STU</v>
      </c>
      <c r="F49" s="334" t="str">
        <f>Mär!AM61</f>
        <v>0 STU</v>
      </c>
      <c r="G49" s="334" t="str">
        <f>Apr!AM61</f>
        <v>0 STU</v>
      </c>
      <c r="H49" s="334" t="str">
        <f>Mai!AM61</f>
        <v>0 STU</v>
      </c>
      <c r="I49" s="334" t="str">
        <f>Jun!AM61</f>
        <v>0 STU</v>
      </c>
      <c r="J49" s="334" t="str">
        <f>Jul!AM61</f>
        <v>0 STU</v>
      </c>
      <c r="K49" s="334" t="str">
        <f>Aug!AM61</f>
        <v>0 STU</v>
      </c>
      <c r="L49" s="334" t="str">
        <f>Sep!AM61</f>
        <v>0 STU</v>
      </c>
      <c r="M49" s="334" t="str">
        <f>Okt!AM61</f>
        <v>0 STU</v>
      </c>
      <c r="N49" s="334" t="str">
        <f>Nov!AM61</f>
        <v>0 STU</v>
      </c>
      <c r="O49" s="334" t="str">
        <f>Dez!AM61</f>
        <v>0 STU</v>
      </c>
      <c r="P49" s="335"/>
    </row>
    <row r="50" spans="1:16" ht="12.75" customHeight="1" x14ac:dyDescent="0.2">
      <c r="A50" s="250"/>
      <c r="B50" s="584"/>
      <c r="C50" s="278" t="str">
        <f t="shared" si="2"/>
        <v>Mu-/Vat.</v>
      </c>
      <c r="D50" s="334" t="str">
        <f>Jan!AM62</f>
        <v>0 MU</v>
      </c>
      <c r="E50" s="334" t="str">
        <f>Feb!AM62</f>
        <v>0 MU</v>
      </c>
      <c r="F50" s="334" t="str">
        <f>Mär!AM62</f>
        <v>0 MU</v>
      </c>
      <c r="G50" s="334" t="str">
        <f>Apr!AM62</f>
        <v>0 MU</v>
      </c>
      <c r="H50" s="334" t="str">
        <f>Mai!AM62</f>
        <v>0 MU</v>
      </c>
      <c r="I50" s="334" t="str">
        <f>Jun!AM62</f>
        <v>0 MU</v>
      </c>
      <c r="J50" s="334" t="str">
        <f>Jul!AM62</f>
        <v>0 MU</v>
      </c>
      <c r="K50" s="334" t="str">
        <f>Aug!AM62</f>
        <v>0 MU</v>
      </c>
      <c r="L50" s="334" t="str">
        <f>Sep!AM62</f>
        <v>0 MU</v>
      </c>
      <c r="M50" s="334" t="str">
        <f>Okt!AM62</f>
        <v>0 MU</v>
      </c>
      <c r="N50" s="334" t="str">
        <f>Nov!AM62</f>
        <v>0 MU</v>
      </c>
      <c r="O50" s="334" t="str">
        <f>Dez!AM62</f>
        <v>0 MU</v>
      </c>
      <c r="P50" s="335"/>
    </row>
    <row r="51" spans="1:16" ht="12.75" customHeight="1" x14ac:dyDescent="0.2">
      <c r="A51" s="250"/>
      <c r="B51" s="584"/>
      <c r="C51" s="278" t="str">
        <f t="shared" si="2"/>
        <v>Treueprämie</v>
      </c>
      <c r="D51" s="334" t="str">
        <f>Jan!AM63</f>
        <v>0 TRP</v>
      </c>
      <c r="E51" s="334" t="str">
        <f>Feb!AM63</f>
        <v>0 TRP</v>
      </c>
      <c r="F51" s="334" t="str">
        <f>Mär!AM63</f>
        <v>0 TRP</v>
      </c>
      <c r="G51" s="334" t="str">
        <f>Apr!AM63</f>
        <v>0 TRP</v>
      </c>
      <c r="H51" s="334" t="str">
        <f>Mai!AM63</f>
        <v>0 TRP</v>
      </c>
      <c r="I51" s="334" t="str">
        <f>Jun!AM63</f>
        <v>0 TRP</v>
      </c>
      <c r="J51" s="334" t="str">
        <f>Jul!AM63</f>
        <v>0 TRP</v>
      </c>
      <c r="K51" s="334" t="str">
        <f>Aug!AM63</f>
        <v>0 TRP</v>
      </c>
      <c r="L51" s="334" t="str">
        <f>Sep!AM63</f>
        <v>0 TRP</v>
      </c>
      <c r="M51" s="334" t="str">
        <f>Okt!AM63</f>
        <v>0 TRP</v>
      </c>
      <c r="N51" s="334" t="str">
        <f>Nov!AM63</f>
        <v>0 TRP</v>
      </c>
      <c r="O51" s="334" t="str">
        <f>Dez!AM63</f>
        <v>0 TRP</v>
      </c>
      <c r="P51" s="335"/>
    </row>
    <row r="52" spans="1:16" ht="12.75" customHeight="1" x14ac:dyDescent="0.2">
      <c r="A52" s="250"/>
      <c r="B52" s="584"/>
      <c r="C52" s="278" t="str">
        <f t="shared" si="2"/>
        <v>Langzeitkonto</v>
      </c>
      <c r="D52" s="334" t="str">
        <f>Jan!AM64</f>
        <v>0 LZK</v>
      </c>
      <c r="E52" s="334" t="str">
        <f>Feb!AM64</f>
        <v>0 LZK</v>
      </c>
      <c r="F52" s="334" t="str">
        <f>Mär!AM64</f>
        <v>0 LZK</v>
      </c>
      <c r="G52" s="334" t="str">
        <f>Apr!AM64</f>
        <v>0 LZK</v>
      </c>
      <c r="H52" s="334" t="str">
        <f>Mai!AM64</f>
        <v>0 LZK</v>
      </c>
      <c r="I52" s="334" t="str">
        <f>Jun!AM64</f>
        <v>0 LZK</v>
      </c>
      <c r="J52" s="334" t="str">
        <f>Jul!AM64</f>
        <v>0 LZK</v>
      </c>
      <c r="K52" s="334" t="str">
        <f>Aug!AM64</f>
        <v>0 LZK</v>
      </c>
      <c r="L52" s="334" t="str">
        <f>Sep!AM64</f>
        <v>0 LZK</v>
      </c>
      <c r="M52" s="334" t="str">
        <f>Okt!AM64</f>
        <v>0 LZK</v>
      </c>
      <c r="N52" s="334" t="str">
        <f>Nov!AM64</f>
        <v>0 LZK</v>
      </c>
      <c r="O52" s="334" t="str">
        <f>Dez!AM64</f>
        <v>0 LZK</v>
      </c>
      <c r="P52" s="335"/>
    </row>
    <row r="53" spans="1:16" ht="7.5" customHeight="1" x14ac:dyDescent="0.2">
      <c r="A53" s="250"/>
      <c r="B53" s="584"/>
      <c r="C53" s="278"/>
      <c r="D53" s="334"/>
      <c r="E53" s="334"/>
      <c r="F53" s="334"/>
      <c r="G53" s="334"/>
      <c r="H53" s="334"/>
      <c r="I53" s="334"/>
      <c r="J53" s="334"/>
      <c r="K53" s="334"/>
      <c r="L53" s="334"/>
      <c r="M53" s="334"/>
      <c r="N53" s="334"/>
      <c r="O53" s="334"/>
      <c r="P53" s="336"/>
    </row>
    <row r="54" spans="1:16" ht="12.75" customHeight="1" x14ac:dyDescent="0.2">
      <c r="A54" s="250"/>
      <c r="B54" s="584"/>
      <c r="C54" s="278" t="str">
        <f>C41</f>
        <v>Total Frei-/Teilzeit</v>
      </c>
      <c r="D54" s="334" t="str">
        <f>Jan!AM66</f>
        <v>176,4 TZ/FR</v>
      </c>
      <c r="E54" s="334" t="str">
        <f>Feb!AM66</f>
        <v>168 TZ/FR</v>
      </c>
      <c r="F54" s="334" t="str">
        <f>Mär!AM66</f>
        <v>176,4 TZ/FR</v>
      </c>
      <c r="G54" s="334" t="str">
        <f>Apr!AM66</f>
        <v>168 TZ/FR</v>
      </c>
      <c r="H54" s="334" t="str">
        <f>Mai!AM66</f>
        <v>176,4 TZ/FR</v>
      </c>
      <c r="I54" s="334" t="str">
        <f>Jun!AM66</f>
        <v>168 TZ/FR</v>
      </c>
      <c r="J54" s="334" t="str">
        <f>Jul!AM66</f>
        <v>193,2 TZ/FR</v>
      </c>
      <c r="K54" s="334" t="str">
        <f>Aug!AM66</f>
        <v>168 TZ/FR</v>
      </c>
      <c r="L54" s="334" t="str">
        <f>Sep!AM66</f>
        <v>184,8 TZ/FR</v>
      </c>
      <c r="M54" s="334" t="str">
        <f>Okt!AM66</f>
        <v>193,2 TZ/FR</v>
      </c>
      <c r="N54" s="334" t="str">
        <f>Nov!AM66</f>
        <v>168 TZ/FR</v>
      </c>
      <c r="O54" s="334" t="str">
        <f>Dez!AM66</f>
        <v>168 TZ/FR</v>
      </c>
      <c r="P54" s="336"/>
    </row>
    <row r="55" spans="1:16" ht="3.75" customHeight="1" x14ac:dyDescent="0.2">
      <c r="A55" s="250"/>
      <c r="B55" s="251"/>
      <c r="C55" s="251"/>
      <c r="D55" s="251"/>
      <c r="E55" s="251"/>
      <c r="F55" s="251"/>
      <c r="G55" s="251"/>
      <c r="H55" s="251"/>
      <c r="I55" s="251"/>
      <c r="J55" s="251"/>
      <c r="K55" s="251"/>
      <c r="L55" s="251"/>
      <c r="M55" s="251"/>
      <c r="N55" s="251"/>
      <c r="O55" s="251"/>
      <c r="P55" s="251"/>
    </row>
    <row r="56" spans="1:16" ht="12.75" customHeight="1" x14ac:dyDescent="0.2">
      <c r="A56" s="166"/>
      <c r="B56" s="588" t="s">
        <v>387</v>
      </c>
      <c r="C56" s="318" t="s">
        <v>27</v>
      </c>
      <c r="D56" s="319">
        <f>Jan!AM74</f>
        <v>-141.12</v>
      </c>
      <c r="E56" s="319">
        <f>Feb!AM74</f>
        <v>-275.52000000000004</v>
      </c>
      <c r="F56" s="319">
        <f>Mär!AM74</f>
        <v>-416.64000000000061</v>
      </c>
      <c r="G56" s="319">
        <f>Apr!AM74</f>
        <v>-551.0400000000011</v>
      </c>
      <c r="H56" s="319">
        <f>Mai!AM74</f>
        <v>-692.16000000000167</v>
      </c>
      <c r="I56" s="319">
        <f>Jun!AM74</f>
        <v>-826.56000000000222</v>
      </c>
      <c r="J56" s="319">
        <f>Jul!AM74</f>
        <v>-981.12000000000285</v>
      </c>
      <c r="K56" s="319">
        <f>Aug!AM74</f>
        <v>-1115.5200000000034</v>
      </c>
      <c r="L56" s="319">
        <f>Sep!AM74</f>
        <v>-1263.360000000004</v>
      </c>
      <c r="M56" s="319">
        <f>Okt!AM74</f>
        <v>-1417.9200000000046</v>
      </c>
      <c r="N56" s="319">
        <f>Nov!AM74</f>
        <v>-1552.3200000000052</v>
      </c>
      <c r="O56" s="319">
        <f>Dez!AM74</f>
        <v>-1686.7200000000055</v>
      </c>
      <c r="P56" s="316"/>
    </row>
    <row r="57" spans="1:16" ht="12.75" customHeight="1" x14ac:dyDescent="0.2">
      <c r="A57" s="250"/>
      <c r="B57" s="589"/>
      <c r="C57" s="318" t="s">
        <v>71</v>
      </c>
      <c r="D57" s="319">
        <f>Jan!AM75</f>
        <v>-16.8</v>
      </c>
      <c r="E57" s="319">
        <f>Feb!AM75</f>
        <v>-32.800000000000004</v>
      </c>
      <c r="F57" s="319">
        <f>Mär!AM75</f>
        <v>-49.600000000000072</v>
      </c>
      <c r="G57" s="319">
        <f>Apr!AM75</f>
        <v>-65.600000000000122</v>
      </c>
      <c r="H57" s="319">
        <f>Mai!AM75</f>
        <v>-82.40000000000019</v>
      </c>
      <c r="I57" s="319">
        <f>Jun!AM75</f>
        <v>-98.400000000000261</v>
      </c>
      <c r="J57" s="319">
        <f>Jul!AM75</f>
        <v>-116.80000000000034</v>
      </c>
      <c r="K57" s="319">
        <f>Aug!AM75</f>
        <v>-132.80000000000041</v>
      </c>
      <c r="L57" s="319">
        <f>Sep!AM75</f>
        <v>-150.40000000000046</v>
      </c>
      <c r="M57" s="319">
        <f>Okt!AM75</f>
        <v>-168.80000000000055</v>
      </c>
      <c r="N57" s="319">
        <f>Nov!AM75</f>
        <v>-184.80000000000061</v>
      </c>
      <c r="O57" s="319">
        <f>Dez!AM75</f>
        <v>-200.80000000000064</v>
      </c>
      <c r="P57" s="316"/>
    </row>
    <row r="58" spans="1:16" ht="3.75" customHeight="1" x14ac:dyDescent="0.2">
      <c r="A58" s="250"/>
      <c r="B58" s="553"/>
      <c r="C58" s="555"/>
      <c r="D58" s="337"/>
      <c r="E58" s="337"/>
      <c r="F58" s="337"/>
      <c r="G58" s="337"/>
      <c r="H58" s="337"/>
      <c r="I58" s="337"/>
      <c r="J58" s="337"/>
      <c r="K58" s="337"/>
      <c r="L58" s="337"/>
      <c r="M58" s="337"/>
      <c r="N58" s="337"/>
      <c r="O58" s="337"/>
      <c r="P58" s="338"/>
    </row>
    <row r="59" spans="1:16" ht="12.75" customHeight="1" x14ac:dyDescent="0.2">
      <c r="A59" s="250"/>
      <c r="B59" s="558" t="str">
        <f>IF(ISBLANK(Arbeitsber.!B5),"",Arbeitsber.!B5)</f>
        <v xml:space="preserve">GD, Kasualien </v>
      </c>
      <c r="C59" s="559"/>
      <c r="D59" s="319">
        <f>Jan!AM79</f>
        <v>0</v>
      </c>
      <c r="E59" s="319">
        <f>Feb!AM79</f>
        <v>0</v>
      </c>
      <c r="F59" s="319">
        <f>Mär!AM79</f>
        <v>0</v>
      </c>
      <c r="G59" s="319">
        <f>Apr!AM79</f>
        <v>0</v>
      </c>
      <c r="H59" s="319">
        <f>Mai!AM79</f>
        <v>0</v>
      </c>
      <c r="I59" s="319">
        <f>Jun!AM79</f>
        <v>0</v>
      </c>
      <c r="J59" s="319">
        <f>Jul!AM79</f>
        <v>0</v>
      </c>
      <c r="K59" s="319">
        <f>Aug!AM79</f>
        <v>0</v>
      </c>
      <c r="L59" s="319">
        <f>Sep!AM79</f>
        <v>0</v>
      </c>
      <c r="M59" s="319">
        <f>Okt!AM79</f>
        <v>0</v>
      </c>
      <c r="N59" s="319">
        <f>Nov!AM79</f>
        <v>0</v>
      </c>
      <c r="O59" s="319">
        <f>Dez!AM79</f>
        <v>0</v>
      </c>
      <c r="P59" s="339">
        <f t="shared" ref="P59:P71" si="3">SUM(D59:O59)</f>
        <v>0</v>
      </c>
    </row>
    <row r="60" spans="1:16" ht="12.75" customHeight="1" x14ac:dyDescent="0.2">
      <c r="A60" s="250"/>
      <c r="B60" s="558" t="str">
        <f>IF(ISBLANK(Arbeitsber.!B6),"",Arbeitsber.!B6)</f>
        <v>KUW</v>
      </c>
      <c r="C60" s="559"/>
      <c r="D60" s="319">
        <f>Jan!AM80</f>
        <v>0</v>
      </c>
      <c r="E60" s="319">
        <f>Feb!AM80</f>
        <v>0</v>
      </c>
      <c r="F60" s="319">
        <f>Mär!AM80</f>
        <v>0</v>
      </c>
      <c r="G60" s="319">
        <f>Apr!AM80</f>
        <v>0</v>
      </c>
      <c r="H60" s="319">
        <f>Mai!AM80</f>
        <v>0</v>
      </c>
      <c r="I60" s="319">
        <f>Jun!AM80</f>
        <v>0</v>
      </c>
      <c r="J60" s="319">
        <f>Jul!AM80</f>
        <v>0</v>
      </c>
      <c r="K60" s="319">
        <f>Aug!AM80</f>
        <v>0</v>
      </c>
      <c r="L60" s="319">
        <f>Sep!AM80</f>
        <v>0</v>
      </c>
      <c r="M60" s="319">
        <f>Okt!AM80</f>
        <v>0</v>
      </c>
      <c r="N60" s="319">
        <f>Nov!AM80</f>
        <v>0</v>
      </c>
      <c r="O60" s="319">
        <f>Dez!AM80</f>
        <v>0</v>
      </c>
      <c r="P60" s="339">
        <f t="shared" si="3"/>
        <v>0</v>
      </c>
    </row>
    <row r="61" spans="1:16" ht="12.75" customHeight="1" x14ac:dyDescent="0.2">
      <c r="A61" s="250"/>
      <c r="B61" s="558" t="str">
        <f>IF(ISBLANK(Arbeitsber.!B7),"",Arbeitsber.!B7)</f>
        <v>Seelsorge</v>
      </c>
      <c r="C61" s="559"/>
      <c r="D61" s="319">
        <f>Jan!AM81</f>
        <v>0</v>
      </c>
      <c r="E61" s="319">
        <f>Feb!AM81</f>
        <v>0</v>
      </c>
      <c r="F61" s="319">
        <f>Mär!AM81</f>
        <v>0</v>
      </c>
      <c r="G61" s="319">
        <f>Apr!AM81</f>
        <v>0</v>
      </c>
      <c r="H61" s="319">
        <f>Mai!AM81</f>
        <v>0</v>
      </c>
      <c r="I61" s="319">
        <f>Jun!AM81</f>
        <v>0</v>
      </c>
      <c r="J61" s="319">
        <f>Jul!AM81</f>
        <v>0</v>
      </c>
      <c r="K61" s="319">
        <f>Aug!AM81</f>
        <v>0</v>
      </c>
      <c r="L61" s="319">
        <f>Sep!AM81</f>
        <v>0</v>
      </c>
      <c r="M61" s="319">
        <f>Okt!AM81</f>
        <v>0</v>
      </c>
      <c r="N61" s="319">
        <f>Nov!AM81</f>
        <v>0</v>
      </c>
      <c r="O61" s="319">
        <f>Dez!AM81</f>
        <v>0</v>
      </c>
      <c r="P61" s="339">
        <f t="shared" si="3"/>
        <v>0</v>
      </c>
    </row>
    <row r="62" spans="1:16" ht="12.75" customHeight="1" x14ac:dyDescent="0.2">
      <c r="A62" s="250"/>
      <c r="B62" s="558" t="str">
        <f>IF(ISBLANK(Arbeitsber.!B8),"",Arbeitsber.!B8)</f>
        <v>Gemeindearbeit</v>
      </c>
      <c r="C62" s="559"/>
      <c r="D62" s="319">
        <f>Jan!AM82</f>
        <v>0</v>
      </c>
      <c r="E62" s="319">
        <f>Feb!AM82</f>
        <v>0</v>
      </c>
      <c r="F62" s="319">
        <f>Mär!AM82</f>
        <v>0</v>
      </c>
      <c r="G62" s="319">
        <f>Apr!AM82</f>
        <v>0</v>
      </c>
      <c r="H62" s="319">
        <f>Mai!AM82</f>
        <v>0</v>
      </c>
      <c r="I62" s="319">
        <f>Jun!AM82</f>
        <v>0</v>
      </c>
      <c r="J62" s="319">
        <f>Jul!AM82</f>
        <v>0</v>
      </c>
      <c r="K62" s="319">
        <f>Aug!AM82</f>
        <v>0</v>
      </c>
      <c r="L62" s="319">
        <f>Sep!AM82</f>
        <v>0</v>
      </c>
      <c r="M62" s="319">
        <f>Okt!AM82</f>
        <v>0</v>
      </c>
      <c r="N62" s="319">
        <f>Nov!AM82</f>
        <v>0</v>
      </c>
      <c r="O62" s="319">
        <f>Dez!AM82</f>
        <v>0</v>
      </c>
      <c r="P62" s="339">
        <f t="shared" si="3"/>
        <v>0</v>
      </c>
    </row>
    <row r="63" spans="1:16" ht="12.75" customHeight="1" x14ac:dyDescent="0.2">
      <c r="A63" s="250"/>
      <c r="B63" s="558" t="str">
        <f>IF(ISBLANK(Arbeitsber.!B9),"",Arbeitsber.!B9)</f>
        <v>Administration</v>
      </c>
      <c r="C63" s="559"/>
      <c r="D63" s="319">
        <f>Jan!AM83</f>
        <v>0</v>
      </c>
      <c r="E63" s="319">
        <f>Feb!AM83</f>
        <v>0</v>
      </c>
      <c r="F63" s="319">
        <f>Mär!AM83</f>
        <v>0</v>
      </c>
      <c r="G63" s="319">
        <f>Apr!AM83</f>
        <v>0</v>
      </c>
      <c r="H63" s="319">
        <f>Mai!AM83</f>
        <v>0</v>
      </c>
      <c r="I63" s="319">
        <f>Jun!AM83</f>
        <v>0</v>
      </c>
      <c r="J63" s="319">
        <f>Jul!AM83</f>
        <v>0</v>
      </c>
      <c r="K63" s="319">
        <f>Aug!AM83</f>
        <v>0</v>
      </c>
      <c r="L63" s="319">
        <f>Sep!AM83</f>
        <v>0</v>
      </c>
      <c r="M63" s="319">
        <f>Okt!AM83</f>
        <v>0</v>
      </c>
      <c r="N63" s="319">
        <f>Nov!AM83</f>
        <v>0</v>
      </c>
      <c r="O63" s="319">
        <f>Dez!AM83</f>
        <v>0</v>
      </c>
      <c r="P63" s="339">
        <f t="shared" si="3"/>
        <v>0</v>
      </c>
    </row>
    <row r="64" spans="1:16" ht="12.75" customHeight="1" x14ac:dyDescent="0.2">
      <c r="A64" s="250"/>
      <c r="B64" s="558" t="str">
        <f>IF(ISBLANK(Arbeitsber.!B10),"",Arbeitsber.!B10)</f>
        <v>Theol. Reflex.</v>
      </c>
      <c r="C64" s="559"/>
      <c r="D64" s="319">
        <f>Jan!AM84</f>
        <v>0</v>
      </c>
      <c r="E64" s="319">
        <f>Feb!AM84</f>
        <v>0</v>
      </c>
      <c r="F64" s="319">
        <f>Mär!AM84</f>
        <v>0</v>
      </c>
      <c r="G64" s="319">
        <f>Apr!AM84</f>
        <v>0</v>
      </c>
      <c r="H64" s="319">
        <f>Mai!AM84</f>
        <v>0</v>
      </c>
      <c r="I64" s="319">
        <f>Jun!AM84</f>
        <v>0</v>
      </c>
      <c r="J64" s="319">
        <f>Jul!AM84</f>
        <v>0</v>
      </c>
      <c r="K64" s="319">
        <f>Aug!AM84</f>
        <v>0</v>
      </c>
      <c r="L64" s="319">
        <f>Sep!AM84</f>
        <v>0</v>
      </c>
      <c r="M64" s="319">
        <f>Okt!AM84</f>
        <v>0</v>
      </c>
      <c r="N64" s="319">
        <f>Nov!AM84</f>
        <v>0</v>
      </c>
      <c r="O64" s="319">
        <f>Dez!AM84</f>
        <v>0</v>
      </c>
      <c r="P64" s="339">
        <f t="shared" si="3"/>
        <v>0</v>
      </c>
    </row>
    <row r="65" spans="1:16" ht="12.75" customHeight="1" x14ac:dyDescent="0.2">
      <c r="A65" s="250"/>
      <c r="B65" s="558" t="str">
        <f>IF(ISBLANK(Arbeitsber.!B11),"",Arbeitsber.!B11)</f>
        <v/>
      </c>
      <c r="C65" s="559"/>
      <c r="D65" s="319">
        <f>Jan!AM85</f>
        <v>0</v>
      </c>
      <c r="E65" s="319">
        <f>Feb!AM85</f>
        <v>0</v>
      </c>
      <c r="F65" s="319">
        <f>Mär!AM85</f>
        <v>0</v>
      </c>
      <c r="G65" s="319">
        <f>Apr!AM85</f>
        <v>0</v>
      </c>
      <c r="H65" s="319">
        <f>Mai!AM85</f>
        <v>0</v>
      </c>
      <c r="I65" s="319">
        <f>Jun!AM85</f>
        <v>0</v>
      </c>
      <c r="J65" s="319">
        <f>Jul!AM85</f>
        <v>0</v>
      </c>
      <c r="K65" s="319">
        <f>Aug!AM85</f>
        <v>0</v>
      </c>
      <c r="L65" s="319">
        <f>Sep!AM85</f>
        <v>0</v>
      </c>
      <c r="M65" s="319">
        <f>Okt!AM85</f>
        <v>0</v>
      </c>
      <c r="N65" s="319">
        <f>Nov!AM85</f>
        <v>0</v>
      </c>
      <c r="O65" s="319">
        <f>Dez!AM85</f>
        <v>0</v>
      </c>
      <c r="P65" s="339">
        <f t="shared" si="3"/>
        <v>0</v>
      </c>
    </row>
    <row r="66" spans="1:16" ht="12.75" customHeight="1" x14ac:dyDescent="0.2">
      <c r="A66" s="250"/>
      <c r="B66" s="558" t="str">
        <f>IF(ISBLANK(Arbeitsber.!B12),"",Arbeitsber.!B12)</f>
        <v/>
      </c>
      <c r="C66" s="559"/>
      <c r="D66" s="319">
        <f>Jan!AM86</f>
        <v>0</v>
      </c>
      <c r="E66" s="319">
        <f>Feb!AM86</f>
        <v>0</v>
      </c>
      <c r="F66" s="319">
        <f>Mär!AM86</f>
        <v>0</v>
      </c>
      <c r="G66" s="319">
        <f>Apr!AM86</f>
        <v>0</v>
      </c>
      <c r="H66" s="319">
        <f>Mai!AM86</f>
        <v>0</v>
      </c>
      <c r="I66" s="319">
        <f>Jun!AM86</f>
        <v>0</v>
      </c>
      <c r="J66" s="319">
        <f>Jul!AM86</f>
        <v>0</v>
      </c>
      <c r="K66" s="319">
        <f>Aug!AM86</f>
        <v>0</v>
      </c>
      <c r="L66" s="319">
        <f>Sep!AM86</f>
        <v>0</v>
      </c>
      <c r="M66" s="319">
        <f>Okt!AM86</f>
        <v>0</v>
      </c>
      <c r="N66" s="319">
        <f>Nov!AM86</f>
        <v>0</v>
      </c>
      <c r="O66" s="319">
        <f>Dez!AM86</f>
        <v>0</v>
      </c>
      <c r="P66" s="339">
        <f t="shared" si="3"/>
        <v>0</v>
      </c>
    </row>
    <row r="67" spans="1:16" ht="12.75" customHeight="1" x14ac:dyDescent="0.2">
      <c r="A67" s="250"/>
      <c r="B67" s="558" t="str">
        <f>IF(ISBLANK(Arbeitsber.!B13),"",Arbeitsber.!B13)</f>
        <v/>
      </c>
      <c r="C67" s="559"/>
      <c r="D67" s="319">
        <f>Jan!AM87</f>
        <v>0</v>
      </c>
      <c r="E67" s="319">
        <f>Feb!AM87</f>
        <v>0</v>
      </c>
      <c r="F67" s="319">
        <f>Mär!AM87</f>
        <v>0</v>
      </c>
      <c r="G67" s="319">
        <f>Apr!AM87</f>
        <v>0</v>
      </c>
      <c r="H67" s="319">
        <f>Mai!AM87</f>
        <v>0</v>
      </c>
      <c r="I67" s="319">
        <f>Jun!AM87</f>
        <v>0</v>
      </c>
      <c r="J67" s="319">
        <f>Jul!AM87</f>
        <v>0</v>
      </c>
      <c r="K67" s="319">
        <f>Aug!AM87</f>
        <v>0</v>
      </c>
      <c r="L67" s="319">
        <f>Sep!AM87</f>
        <v>0</v>
      </c>
      <c r="M67" s="319">
        <f>Okt!AM87</f>
        <v>0</v>
      </c>
      <c r="N67" s="319">
        <f>Nov!AM87</f>
        <v>0</v>
      </c>
      <c r="O67" s="319">
        <f>Dez!AM87</f>
        <v>0</v>
      </c>
      <c r="P67" s="339">
        <f t="shared" si="3"/>
        <v>0</v>
      </c>
    </row>
    <row r="68" spans="1:16" x14ac:dyDescent="0.2">
      <c r="A68" s="250"/>
      <c r="B68" s="558" t="str">
        <f>IF(ISBLANK(Arbeitsber.!B14),"",Arbeitsber.!B14)</f>
        <v/>
      </c>
      <c r="C68" s="559"/>
      <c r="D68" s="319">
        <f>Jan!AM88</f>
        <v>0</v>
      </c>
      <c r="E68" s="319">
        <f>Feb!AM88</f>
        <v>0</v>
      </c>
      <c r="F68" s="319">
        <f>Mär!AM88</f>
        <v>0</v>
      </c>
      <c r="G68" s="319">
        <f>Apr!AM88</f>
        <v>0</v>
      </c>
      <c r="H68" s="319">
        <f>Mai!AM88</f>
        <v>0</v>
      </c>
      <c r="I68" s="319">
        <f>Jun!AM88</f>
        <v>0</v>
      </c>
      <c r="J68" s="319">
        <f>Jul!AM88</f>
        <v>0</v>
      </c>
      <c r="K68" s="319">
        <f>Aug!AM88</f>
        <v>0</v>
      </c>
      <c r="L68" s="319">
        <f>Sep!AM88</f>
        <v>0</v>
      </c>
      <c r="M68" s="319">
        <f>Okt!AM88</f>
        <v>0</v>
      </c>
      <c r="N68" s="319">
        <f>Nov!AM88</f>
        <v>0</v>
      </c>
      <c r="O68" s="319">
        <f>Dez!AM88</f>
        <v>0</v>
      </c>
      <c r="P68" s="339">
        <f t="shared" si="3"/>
        <v>0</v>
      </c>
    </row>
    <row r="69" spans="1:16" x14ac:dyDescent="0.2">
      <c r="A69" s="250"/>
      <c r="B69" s="558" t="str">
        <f>IF(ISBLANK(Arbeitsber.!B15),"",Arbeitsber.!B15)</f>
        <v/>
      </c>
      <c r="C69" s="559"/>
      <c r="D69" s="319">
        <f>Jan!AM89</f>
        <v>0</v>
      </c>
      <c r="E69" s="319">
        <f>Feb!AM89</f>
        <v>0</v>
      </c>
      <c r="F69" s="319">
        <f>Mär!AM89</f>
        <v>0</v>
      </c>
      <c r="G69" s="319">
        <f>Apr!AM89</f>
        <v>0</v>
      </c>
      <c r="H69" s="319">
        <f>Mai!AM89</f>
        <v>0</v>
      </c>
      <c r="I69" s="319">
        <f>Jun!AM89</f>
        <v>0</v>
      </c>
      <c r="J69" s="319">
        <f>Jul!AM89</f>
        <v>0</v>
      </c>
      <c r="K69" s="319">
        <f>Aug!AM89</f>
        <v>0</v>
      </c>
      <c r="L69" s="319">
        <f>Sep!AM89</f>
        <v>0</v>
      </c>
      <c r="M69" s="319">
        <f>Okt!AM89</f>
        <v>0</v>
      </c>
      <c r="N69" s="319">
        <f>Nov!AM89</f>
        <v>0</v>
      </c>
      <c r="O69" s="319">
        <f>Dez!AM89</f>
        <v>0</v>
      </c>
      <c r="P69" s="339">
        <f t="shared" si="3"/>
        <v>0</v>
      </c>
    </row>
    <row r="70" spans="1:16" ht="12.75" customHeight="1" x14ac:dyDescent="0.2">
      <c r="A70" s="250"/>
      <c r="B70" s="558" t="str">
        <f>IF(ISBLANK(Arbeitsber.!B16),"",Arbeitsber.!B16)</f>
        <v/>
      </c>
      <c r="C70" s="559"/>
      <c r="D70" s="319">
        <f>Jan!AM90</f>
        <v>0</v>
      </c>
      <c r="E70" s="319">
        <f>Feb!AM90</f>
        <v>0</v>
      </c>
      <c r="F70" s="319">
        <f>Mär!AM90</f>
        <v>0</v>
      </c>
      <c r="G70" s="319">
        <f>Apr!AM90</f>
        <v>0</v>
      </c>
      <c r="H70" s="319">
        <f>Mai!AM90</f>
        <v>0</v>
      </c>
      <c r="I70" s="319">
        <f>Jun!AM90</f>
        <v>0</v>
      </c>
      <c r="J70" s="319">
        <f>Jul!AM90</f>
        <v>0</v>
      </c>
      <c r="K70" s="319">
        <f>Aug!AM90</f>
        <v>0</v>
      </c>
      <c r="L70" s="319">
        <f>Sep!AM90</f>
        <v>0</v>
      </c>
      <c r="M70" s="319">
        <f>Okt!AM90</f>
        <v>0</v>
      </c>
      <c r="N70" s="319">
        <f>Nov!AM90</f>
        <v>0</v>
      </c>
      <c r="O70" s="319">
        <f>Dez!AM90</f>
        <v>0</v>
      </c>
      <c r="P70" s="339">
        <f t="shared" si="3"/>
        <v>0</v>
      </c>
    </row>
    <row r="71" spans="1:16" ht="12.75" customHeight="1" x14ac:dyDescent="0.2">
      <c r="A71" s="250"/>
      <c r="B71" s="560" t="str">
        <f>Arbeitsber.!B17</f>
        <v>Sonstiges</v>
      </c>
      <c r="C71" s="561"/>
      <c r="D71" s="319">
        <f>Jan!AM91</f>
        <v>0</v>
      </c>
      <c r="E71" s="319">
        <f>Feb!AM91</f>
        <v>0</v>
      </c>
      <c r="F71" s="319">
        <f>Mär!AM91</f>
        <v>0</v>
      </c>
      <c r="G71" s="319">
        <f>Apr!AM91</f>
        <v>0</v>
      </c>
      <c r="H71" s="319">
        <f>Mai!AM91</f>
        <v>0</v>
      </c>
      <c r="I71" s="319">
        <f>Jun!AM91</f>
        <v>0</v>
      </c>
      <c r="J71" s="319">
        <f>Jul!AM91</f>
        <v>0</v>
      </c>
      <c r="K71" s="319">
        <f>Aug!AM91</f>
        <v>0</v>
      </c>
      <c r="L71" s="319">
        <f>Sep!AM91</f>
        <v>0</v>
      </c>
      <c r="M71" s="319">
        <f>Okt!AM91</f>
        <v>0</v>
      </c>
      <c r="N71" s="319">
        <f>Nov!AM91</f>
        <v>0</v>
      </c>
      <c r="O71" s="319">
        <f>Dez!AM91</f>
        <v>0</v>
      </c>
      <c r="P71" s="339">
        <f t="shared" si="3"/>
        <v>0</v>
      </c>
    </row>
    <row r="72" spans="1:16" ht="3.75" customHeight="1" x14ac:dyDescent="0.2">
      <c r="A72" s="250"/>
      <c r="B72" s="553"/>
      <c r="C72" s="554"/>
      <c r="D72" s="254"/>
      <c r="E72" s="254"/>
      <c r="F72" s="254"/>
      <c r="G72" s="254"/>
      <c r="H72" s="254"/>
      <c r="I72" s="254"/>
      <c r="J72" s="254"/>
      <c r="K72" s="254"/>
      <c r="L72" s="254"/>
      <c r="M72" s="254"/>
      <c r="N72" s="254"/>
      <c r="O72" s="254"/>
      <c r="P72" s="254"/>
    </row>
    <row r="73" spans="1:16" ht="12.75" customHeight="1" thickBot="1" x14ac:dyDescent="0.25">
      <c r="A73" s="250"/>
    </row>
    <row r="74" spans="1:16" ht="12.75" customHeight="1" thickBot="1" x14ac:dyDescent="0.25">
      <c r="A74" s="250"/>
      <c r="G74" s="528"/>
      <c r="H74" s="529" t="s">
        <v>389</v>
      </c>
    </row>
    <row r="75" spans="1:16" ht="12.75" customHeight="1" x14ac:dyDescent="0.2"/>
  </sheetData>
  <sheetProtection algorithmName="SHA-512" hashValue="ADYaDQLjEqNaqbZwI8OkHHB/WGjBwwExV6uO7uMD1p0mJg5QD4BZz+uorI6k1zLGBWmPikcJKcdFzNOvZDwpvg==" saltValue="ybaGU0+gL40mXnZS9M/r3w==" spinCount="100000" sheet="1" objects="1" scenarios="1"/>
  <mergeCells count="27">
    <mergeCell ref="B4:C4"/>
    <mergeCell ref="B5:C5"/>
    <mergeCell ref="B6:C6"/>
    <mergeCell ref="B7:C7"/>
    <mergeCell ref="B8:C8"/>
    <mergeCell ref="B58:C58"/>
    <mergeCell ref="B12:B13"/>
    <mergeCell ref="B15:B16"/>
    <mergeCell ref="B18:B26"/>
    <mergeCell ref="B44:B54"/>
    <mergeCell ref="B56:B57"/>
    <mergeCell ref="B29:C29"/>
    <mergeCell ref="B30:B43"/>
    <mergeCell ref="B59:C59"/>
    <mergeCell ref="B60:C60"/>
    <mergeCell ref="B61:C61"/>
    <mergeCell ref="B62:C62"/>
    <mergeCell ref="B63:C63"/>
    <mergeCell ref="B69:C69"/>
    <mergeCell ref="B70:C70"/>
    <mergeCell ref="B71:C71"/>
    <mergeCell ref="B72:C72"/>
    <mergeCell ref="B64:C64"/>
    <mergeCell ref="B65:C65"/>
    <mergeCell ref="B66:C66"/>
    <mergeCell ref="B67:C67"/>
    <mergeCell ref="B68:C68"/>
  </mergeCells>
  <phoneticPr fontId="33" type="noConversion"/>
  <pageMargins left="0.70866141732283472" right="0.70866141732283472" top="0.78740157480314965" bottom="0.78740157480314965" header="0.31496062992125984" footer="0.31496062992125984"/>
  <pageSetup paperSize="9" scale="79" fitToHeight="0" orientation="portrait" horizontalDpi="0" verticalDpi="0" r:id="rId1"/>
  <headerFooter>
    <oddFooter>&amp;LAusdruck vom &amp;D&amp;C&amp;A&amp;R&amp;P/&amp;N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8B49-BB60-48BD-A121-CC54AC760AB9}">
  <sheetPr>
    <tabColor theme="6" tint="0.59999389629810485"/>
  </sheetPr>
  <dimension ref="B2:AW68"/>
  <sheetViews>
    <sheetView showGridLines="0" showRowColHeaders="0" zoomScaleNormal="100" workbookViewId="0">
      <selection activeCell="B2" sqref="B2"/>
    </sheetView>
  </sheetViews>
  <sheetFormatPr baseColWidth="10" defaultColWidth="11.42578125" defaultRowHeight="12.75" x14ac:dyDescent="0.2"/>
  <cols>
    <col min="1" max="1" width="4" style="10" customWidth="1"/>
    <col min="2" max="2" width="3.85546875" style="10" customWidth="1"/>
    <col min="3" max="4" width="3.85546875" style="10" hidden="1" customWidth="1"/>
    <col min="5" max="5" width="3.28515625" style="10" customWidth="1"/>
    <col min="6" max="6" width="0.85546875" style="389" customWidth="1"/>
    <col min="7" max="8" width="7.85546875" style="10" customWidth="1"/>
    <col min="9" max="10" width="4.140625" style="10" hidden="1" customWidth="1"/>
    <col min="11" max="11" width="3.28515625" style="10" customWidth="1"/>
    <col min="12" max="12" width="0.85546875" style="196" customWidth="1"/>
    <col min="13" max="14" width="7.85546875" style="10" customWidth="1"/>
    <col min="15" max="16" width="4.140625" style="10" hidden="1" customWidth="1"/>
    <col min="17" max="17" width="3.28515625" style="10" customWidth="1"/>
    <col min="18" max="18" width="0.85546875" style="196" customWidth="1"/>
    <col min="19" max="20" width="7.85546875" style="10" customWidth="1"/>
    <col min="21" max="22" width="4.140625" style="10" hidden="1" customWidth="1"/>
    <col min="23" max="23" width="3.28515625" style="10" customWidth="1"/>
    <col min="24" max="24" width="0.85546875" style="196" customWidth="1"/>
    <col min="25" max="26" width="7.85546875" style="10" customWidth="1"/>
    <col min="27" max="28" width="4.140625" style="10" hidden="1" customWidth="1"/>
    <col min="29" max="29" width="3.28515625" style="10" customWidth="1"/>
    <col min="30" max="30" width="0.85546875" style="196" customWidth="1"/>
    <col min="31" max="32" width="7.85546875" style="10" customWidth="1"/>
    <col min="33" max="34" width="4.140625" style="10" hidden="1" customWidth="1"/>
    <col min="35" max="35" width="3.28515625" style="10" customWidth="1"/>
    <col min="36" max="36" width="0.85546875" style="196" customWidth="1"/>
    <col min="37" max="38" width="7.85546875" style="10" customWidth="1"/>
    <col min="39" max="39" width="4.140625" style="10" customWidth="1"/>
    <col min="40" max="43" width="11.42578125" style="10"/>
    <col min="44" max="44" width="10.140625" style="10" customWidth="1"/>
    <col min="45" max="45" width="8.28515625" style="10" customWidth="1"/>
    <col min="46" max="46" width="0" style="10" hidden="1" customWidth="1"/>
    <col min="47" max="16384" width="11.42578125" style="10"/>
  </cols>
  <sheetData>
    <row r="2" spans="2:49" ht="15.75" x14ac:dyDescent="0.25">
      <c r="B2" s="93" t="str">
        <f>_xlfn.CONCAT("Auswertung Abwesenheiten von ",Pfarrer, " für das Jahr ", Jahr)</f>
        <v>Auswertung Abwesenheiten von Heinz Muster für das Jahr 2025</v>
      </c>
      <c r="C2" s="310"/>
      <c r="D2" s="310"/>
      <c r="E2" s="310"/>
      <c r="F2" s="340"/>
      <c r="AL2" s="470" t="str">
        <f>Version</f>
        <v>v25/24.12.28zw</v>
      </c>
    </row>
    <row r="4" spans="2:49" x14ac:dyDescent="0.2">
      <c r="B4" s="341"/>
      <c r="C4" s="342"/>
      <c r="D4" s="342"/>
      <c r="E4" s="594" t="s">
        <v>3</v>
      </c>
      <c r="F4" s="595"/>
      <c r="G4" s="595"/>
      <c r="H4" s="596"/>
      <c r="I4" s="594" t="s">
        <v>160</v>
      </c>
      <c r="J4" s="595"/>
      <c r="K4" s="595"/>
      <c r="L4" s="595"/>
      <c r="M4" s="595"/>
      <c r="N4" s="596"/>
      <c r="O4" s="594" t="s">
        <v>124</v>
      </c>
      <c r="P4" s="595"/>
      <c r="Q4" s="595"/>
      <c r="R4" s="595"/>
      <c r="S4" s="595"/>
      <c r="T4" s="596"/>
      <c r="U4" s="594" t="s">
        <v>125</v>
      </c>
      <c r="V4" s="595"/>
      <c r="W4" s="595"/>
      <c r="X4" s="595"/>
      <c r="Y4" s="595"/>
      <c r="Z4" s="596"/>
      <c r="AA4" s="594" t="s">
        <v>126</v>
      </c>
      <c r="AB4" s="595"/>
      <c r="AC4" s="595"/>
      <c r="AD4" s="595"/>
      <c r="AE4" s="595"/>
      <c r="AF4" s="596"/>
      <c r="AG4" s="594" t="s">
        <v>127</v>
      </c>
      <c r="AH4" s="595"/>
      <c r="AI4" s="595"/>
      <c r="AJ4" s="595"/>
      <c r="AK4" s="595"/>
      <c r="AL4" s="596"/>
      <c r="AN4" s="11" t="s">
        <v>166</v>
      </c>
      <c r="AO4" s="11"/>
      <c r="AP4" s="11"/>
    </row>
    <row r="5" spans="2:49" ht="12.75" customHeight="1" x14ac:dyDescent="0.2">
      <c r="B5" s="343">
        <v>1</v>
      </c>
      <c r="C5" s="344">
        <f t="shared" ref="C5:C35" si="0">DATE(Jahr,1,B5)</f>
        <v>44196</v>
      </c>
      <c r="D5" s="345" cm="1">
        <f t="array" ref="D5:D35">TRANSPOSE(Jan!H9:AL9)</f>
        <v>80</v>
      </c>
      <c r="E5" s="346" t="str">
        <f>TEXT(C5,"TTT")</f>
        <v>Mi</v>
      </c>
      <c r="F5" s="347" t="str" cm="1">
        <f t="array" ref="F5:F35">TRANSPOSE(Jan!H72:AL72)</f>
        <v/>
      </c>
      <c r="G5" s="348" cm="1">
        <f t="array" ref="G5:G35">TRANSPOSE(Jan!H70:AL70)</f>
        <v>0</v>
      </c>
      <c r="H5" s="349" cm="1">
        <f t="array" ref="H5:H35">TRANSPOSE(Jan!H71:AL71)</f>
        <v>0</v>
      </c>
      <c r="I5" s="344">
        <f t="shared" ref="I5:I33" si="1">DATE(Jahr,2,B5)</f>
        <v>44227</v>
      </c>
      <c r="J5" s="345" cm="1">
        <f t="array" ref="J5:J35">TRANSPOSE(Feb!H9:AL9)</f>
        <v>80</v>
      </c>
      <c r="K5" s="346" t="str">
        <f>TEXT(I5,"TTT")</f>
        <v>Sa</v>
      </c>
      <c r="L5" s="347" t="str" cm="1">
        <f t="array" ref="L5:L35">TRANSPOSE(Feb!H72:AL72)</f>
        <v/>
      </c>
      <c r="M5" s="348" cm="1">
        <f t="array" ref="M5:M33">TRANSPOSE(Feb!H70:AJ70)</f>
        <v>0</v>
      </c>
      <c r="N5" s="349" cm="1">
        <f t="array" ref="N5:N33">TRANSPOSE(Feb!H71:AJ71)</f>
        <v>0</v>
      </c>
      <c r="O5" s="344">
        <f t="shared" ref="O5:O35" si="2">DATE(Jahr,3,B5)</f>
        <v>44255</v>
      </c>
      <c r="P5" s="345" cm="1">
        <f t="array" ref="P5:P35">TRANSPOSE(Mär!H9:AL9)</f>
        <v>80</v>
      </c>
      <c r="Q5" s="346" t="str">
        <f>TEXT(O5,"TTT")</f>
        <v>Sa</v>
      </c>
      <c r="R5" s="347" t="str" cm="1">
        <f t="array" ref="R5:R35">TRANSPOSE(Mär!H72:AL72)</f>
        <v/>
      </c>
      <c r="S5" s="348" cm="1">
        <f t="array" ref="S5:S35">TRANSPOSE(Mär!H70:AL70)</f>
        <v>0</v>
      </c>
      <c r="T5" s="349" cm="1">
        <f t="array" ref="T5:T35">TRANSPOSE(Mär!H71:AL71)</f>
        <v>0</v>
      </c>
      <c r="U5" s="344">
        <f t="shared" ref="U5:U34" si="3">DATE(Jahr,4,B5)</f>
        <v>44286</v>
      </c>
      <c r="V5" s="345" cm="1">
        <f t="array" ref="V5:V35">TRANSPOSE(Apr!H9:AL9)</f>
        <v>80</v>
      </c>
      <c r="W5" s="346" t="str">
        <f>TEXT(U5,"TTT")</f>
        <v>Di</v>
      </c>
      <c r="X5" s="347" t="str" cm="1">
        <f t="array" ref="X5:X35">TRANSPOSE(Apr!H72:AL72)</f>
        <v/>
      </c>
      <c r="Y5" s="348" t="str" cm="1">
        <f t="array" ref="Y5:Y34">TRANSPOSE(Apr!H70:AK70)</f>
        <v>FREI</v>
      </c>
      <c r="Z5" s="349" cm="1">
        <f t="array" ref="Z5:Z34">TRANSPOSE(Apr!H71:AK71)</f>
        <v>0</v>
      </c>
      <c r="AA5" s="344">
        <f t="shared" ref="AA5:AA35" si="4">DATE(Jahr,5,B5)</f>
        <v>44316</v>
      </c>
      <c r="AB5" s="345" cm="1">
        <f t="array" ref="AB5:AB35">TRANSPOSE(Mai!H9:AL9)</f>
        <v>80</v>
      </c>
      <c r="AC5" s="346" t="str">
        <f>TEXT(AA5,"TTT")</f>
        <v>Do</v>
      </c>
      <c r="AD5" s="347" t="str" cm="1">
        <f t="array" ref="AD5:AD35">TRANSPOSE(Mai!N72:AR72)</f>
        <v/>
      </c>
      <c r="AE5" s="348" t="str" cm="1">
        <f t="array" ref="AE5:AE35">TRANSPOSE(Mai!H70:AL70)</f>
        <v>FREI</v>
      </c>
      <c r="AF5" s="349" cm="1">
        <f t="array" ref="AF5:AF35">TRANSPOSE(Mai!H71:AL71)</f>
        <v>0</v>
      </c>
      <c r="AG5" s="344">
        <f t="shared" ref="AG5:AG34" si="5">DATE(Jahr,6,B5)</f>
        <v>44347</v>
      </c>
      <c r="AH5" s="345" cm="1">
        <f t="array" ref="AH5:AH35">TRANSPOSE(Jun!H9:AL9)</f>
        <v>80</v>
      </c>
      <c r="AI5" s="346" t="str">
        <f>TEXT(AG5,"TTT")</f>
        <v>So</v>
      </c>
      <c r="AJ5" s="350" t="str" cm="1">
        <f t="array" ref="AJ5:AJ35">TRANSPOSE(Jun!H72:AL72)</f>
        <v/>
      </c>
      <c r="AK5" s="348" cm="1">
        <f t="array" ref="AK5:AK34">TRANSPOSE(Jun!H70:AK70)</f>
        <v>0</v>
      </c>
      <c r="AL5" s="349" cm="1">
        <f t="array" ref="AL5:AL34">TRANSPOSE(Jun!H71:AK71)</f>
        <v>0</v>
      </c>
      <c r="AN5" s="351" t="s">
        <v>141</v>
      </c>
      <c r="AO5" s="597" t="s">
        <v>5</v>
      </c>
      <c r="AP5" s="598"/>
      <c r="AQ5" s="599"/>
      <c r="AR5" s="352">
        <f>Zusammenzug!P30</f>
        <v>0</v>
      </c>
      <c r="AT5" s="10" t="s">
        <v>148</v>
      </c>
      <c r="AW5" s="103"/>
    </row>
    <row r="6" spans="2:49" x14ac:dyDescent="0.2">
      <c r="B6" s="343">
        <v>2</v>
      </c>
      <c r="C6" s="344">
        <f t="shared" si="0"/>
        <v>44197</v>
      </c>
      <c r="D6" s="345">
        <v>80</v>
      </c>
      <c r="E6" s="346" t="str">
        <f t="shared" ref="E6:E35" si="6">TEXT(C6,"TTT")</f>
        <v>Do</v>
      </c>
      <c r="F6" s="347" t="str">
        <v/>
      </c>
      <c r="G6" s="348">
        <v>0</v>
      </c>
      <c r="H6" s="349">
        <v>0</v>
      </c>
      <c r="I6" s="344">
        <f t="shared" si="1"/>
        <v>44228</v>
      </c>
      <c r="J6" s="345">
        <v>80</v>
      </c>
      <c r="K6" s="346" t="str">
        <f t="shared" ref="K6:K33" si="7">TEXT(I6,"TTT")</f>
        <v>So</v>
      </c>
      <c r="L6" s="350" t="str">
        <v/>
      </c>
      <c r="M6" s="348">
        <v>0</v>
      </c>
      <c r="N6" s="349">
        <v>0</v>
      </c>
      <c r="O6" s="344">
        <f t="shared" si="2"/>
        <v>44256</v>
      </c>
      <c r="P6" s="345">
        <v>80</v>
      </c>
      <c r="Q6" s="346" t="str">
        <f t="shared" ref="Q6:Q35" si="8">TEXT(O6,"TTT")</f>
        <v>So</v>
      </c>
      <c r="R6" s="350" t="str">
        <v/>
      </c>
      <c r="S6" s="348">
        <v>0</v>
      </c>
      <c r="T6" s="349">
        <v>0</v>
      </c>
      <c r="U6" s="344">
        <f t="shared" si="3"/>
        <v>44287</v>
      </c>
      <c r="V6" s="345">
        <v>80</v>
      </c>
      <c r="W6" s="346" t="str">
        <f t="shared" ref="W6:W34" si="9">TEXT(U6,"TTT")</f>
        <v>Mi</v>
      </c>
      <c r="X6" s="350" t="str">
        <v/>
      </c>
      <c r="Y6" s="348" t="str">
        <v>FREI</v>
      </c>
      <c r="Z6" s="349">
        <v>0</v>
      </c>
      <c r="AA6" s="344">
        <f t="shared" si="4"/>
        <v>44317</v>
      </c>
      <c r="AB6" s="345">
        <v>80</v>
      </c>
      <c r="AC6" s="346" t="str">
        <f t="shared" ref="AC6:AC35" si="10">TEXT(AA6,"TTT")</f>
        <v>Fr</v>
      </c>
      <c r="AD6" s="350" t="str">
        <v/>
      </c>
      <c r="AE6" s="348" t="str">
        <v>FREI</v>
      </c>
      <c r="AF6" s="349">
        <v>0</v>
      </c>
      <c r="AG6" s="344">
        <f t="shared" si="5"/>
        <v>44348</v>
      </c>
      <c r="AH6" s="345">
        <v>80</v>
      </c>
      <c r="AI6" s="346" t="str">
        <f t="shared" ref="AI6:AI34" si="11">TEXT(AG6,"TTT")</f>
        <v>Mo</v>
      </c>
      <c r="AJ6" s="350" t="str">
        <v/>
      </c>
      <c r="AK6" s="348" t="str">
        <v>FREI</v>
      </c>
      <c r="AL6" s="349">
        <v>0</v>
      </c>
      <c r="AN6" s="353" t="s">
        <v>142</v>
      </c>
      <c r="AO6" s="597" t="s">
        <v>130</v>
      </c>
      <c r="AP6" s="598"/>
      <c r="AQ6" s="599"/>
      <c r="AR6" s="352">
        <f>Zusammenzug!P31</f>
        <v>0</v>
      </c>
      <c r="AT6" s="10" t="s">
        <v>149</v>
      </c>
      <c r="AW6" s="103"/>
    </row>
    <row r="7" spans="2:49" x14ac:dyDescent="0.2">
      <c r="B7" s="343">
        <v>3</v>
      </c>
      <c r="C7" s="344">
        <f t="shared" si="0"/>
        <v>44198</v>
      </c>
      <c r="D7" s="345">
        <v>80</v>
      </c>
      <c r="E7" s="346" t="str">
        <f t="shared" si="6"/>
        <v>Fr</v>
      </c>
      <c r="F7" s="347" t="str">
        <v/>
      </c>
      <c r="G7" s="348" t="str">
        <v>FREI</v>
      </c>
      <c r="H7" s="349">
        <v>0</v>
      </c>
      <c r="I7" s="344">
        <f t="shared" si="1"/>
        <v>44229</v>
      </c>
      <c r="J7" s="345">
        <v>80</v>
      </c>
      <c r="K7" s="346" t="str">
        <f t="shared" si="7"/>
        <v>Mo</v>
      </c>
      <c r="L7" s="350" t="str">
        <v/>
      </c>
      <c r="M7" s="348" t="str">
        <v>FREI</v>
      </c>
      <c r="N7" s="349">
        <v>0</v>
      </c>
      <c r="O7" s="344">
        <f t="shared" si="2"/>
        <v>44257</v>
      </c>
      <c r="P7" s="345">
        <v>80</v>
      </c>
      <c r="Q7" s="346" t="str">
        <f t="shared" si="8"/>
        <v>Mo</v>
      </c>
      <c r="R7" s="350" t="str">
        <v/>
      </c>
      <c r="S7" s="348" t="str">
        <v>FREI</v>
      </c>
      <c r="T7" s="349">
        <v>0</v>
      </c>
      <c r="U7" s="344">
        <f t="shared" si="3"/>
        <v>44288</v>
      </c>
      <c r="V7" s="345">
        <v>80</v>
      </c>
      <c r="W7" s="346" t="str">
        <f t="shared" si="9"/>
        <v>Do</v>
      </c>
      <c r="X7" s="350" t="str">
        <v/>
      </c>
      <c r="Y7" s="348" t="str">
        <v>FREI</v>
      </c>
      <c r="Z7" s="349">
        <v>0</v>
      </c>
      <c r="AA7" s="344">
        <f t="shared" si="4"/>
        <v>44318</v>
      </c>
      <c r="AB7" s="345">
        <v>80</v>
      </c>
      <c r="AC7" s="346" t="str">
        <f t="shared" si="10"/>
        <v>Sa</v>
      </c>
      <c r="AD7" s="350" t="str">
        <v/>
      </c>
      <c r="AE7" s="348">
        <v>0</v>
      </c>
      <c r="AF7" s="349">
        <v>0</v>
      </c>
      <c r="AG7" s="344">
        <f t="shared" si="5"/>
        <v>44349</v>
      </c>
      <c r="AH7" s="345">
        <v>80</v>
      </c>
      <c r="AI7" s="346" t="str">
        <f t="shared" si="11"/>
        <v>Di</v>
      </c>
      <c r="AJ7" s="350" t="str">
        <v/>
      </c>
      <c r="AK7" s="348" t="str">
        <v>FREI</v>
      </c>
      <c r="AL7" s="349">
        <v>0</v>
      </c>
      <c r="AN7" s="354" t="s">
        <v>143</v>
      </c>
      <c r="AO7" s="355" t="s">
        <v>133</v>
      </c>
      <c r="AP7" s="355"/>
      <c r="AQ7" s="355"/>
      <c r="AR7" s="352">
        <f>Zusammenzug!P32</f>
        <v>0</v>
      </c>
      <c r="AT7" s="10" t="s">
        <v>150</v>
      </c>
      <c r="AW7" s="108"/>
    </row>
    <row r="8" spans="2:49" x14ac:dyDescent="0.2">
      <c r="B8" s="343">
        <v>4</v>
      </c>
      <c r="C8" s="344">
        <f t="shared" si="0"/>
        <v>44199</v>
      </c>
      <c r="D8" s="345">
        <v>80</v>
      </c>
      <c r="E8" s="346" t="str">
        <f t="shared" si="6"/>
        <v>Sa</v>
      </c>
      <c r="F8" s="347" t="str">
        <v/>
      </c>
      <c r="G8" s="356">
        <v>0</v>
      </c>
      <c r="H8" s="357">
        <v>0</v>
      </c>
      <c r="I8" s="344">
        <f t="shared" si="1"/>
        <v>44230</v>
      </c>
      <c r="J8" s="345">
        <v>80</v>
      </c>
      <c r="K8" s="346" t="str">
        <f t="shared" si="7"/>
        <v>Di</v>
      </c>
      <c r="L8" s="350" t="str">
        <v/>
      </c>
      <c r="M8" s="356" t="str">
        <v>FREI</v>
      </c>
      <c r="N8" s="357">
        <v>0</v>
      </c>
      <c r="O8" s="344">
        <f t="shared" si="2"/>
        <v>44258</v>
      </c>
      <c r="P8" s="345">
        <v>80</v>
      </c>
      <c r="Q8" s="346" t="str">
        <f t="shared" si="8"/>
        <v>Di</v>
      </c>
      <c r="R8" s="350" t="str">
        <v/>
      </c>
      <c r="S8" s="356" t="str">
        <v>FREI</v>
      </c>
      <c r="T8" s="357">
        <v>0</v>
      </c>
      <c r="U8" s="344">
        <f t="shared" si="3"/>
        <v>44289</v>
      </c>
      <c r="V8" s="345">
        <v>80</v>
      </c>
      <c r="W8" s="346" t="str">
        <f t="shared" si="9"/>
        <v>Fr</v>
      </c>
      <c r="X8" s="350" t="str">
        <v/>
      </c>
      <c r="Y8" s="356" t="str">
        <v>FREI</v>
      </c>
      <c r="Z8" s="357">
        <v>0</v>
      </c>
      <c r="AA8" s="344">
        <f t="shared" si="4"/>
        <v>44319</v>
      </c>
      <c r="AB8" s="345">
        <v>80</v>
      </c>
      <c r="AC8" s="346" t="str">
        <f t="shared" si="10"/>
        <v>So</v>
      </c>
      <c r="AD8" s="350" t="str">
        <v/>
      </c>
      <c r="AE8" s="356">
        <v>0</v>
      </c>
      <c r="AF8" s="357">
        <v>0</v>
      </c>
      <c r="AG8" s="344">
        <f t="shared" si="5"/>
        <v>44350</v>
      </c>
      <c r="AH8" s="345">
        <v>80</v>
      </c>
      <c r="AI8" s="346" t="str">
        <f t="shared" si="11"/>
        <v>Mi</v>
      </c>
      <c r="AJ8" s="350" t="str">
        <v/>
      </c>
      <c r="AK8" s="356" t="str">
        <v>FREI</v>
      </c>
      <c r="AL8" s="357">
        <v>0</v>
      </c>
      <c r="AN8" s="358" t="s">
        <v>144</v>
      </c>
      <c r="AO8" s="355" t="s">
        <v>200</v>
      </c>
      <c r="AP8" s="355"/>
      <c r="AQ8" s="355"/>
      <c r="AR8" s="352">
        <f>Zusammenzug!P33</f>
        <v>0</v>
      </c>
      <c r="AT8" s="10" t="s">
        <v>151</v>
      </c>
      <c r="AW8" s="108"/>
    </row>
    <row r="9" spans="2:49" x14ac:dyDescent="0.2">
      <c r="B9" s="343">
        <v>5</v>
      </c>
      <c r="C9" s="344">
        <f t="shared" si="0"/>
        <v>44200</v>
      </c>
      <c r="D9" s="345">
        <v>80</v>
      </c>
      <c r="E9" s="346" t="str">
        <f t="shared" si="6"/>
        <v>So</v>
      </c>
      <c r="F9" s="347" t="str">
        <v/>
      </c>
      <c r="G9" s="356">
        <v>0</v>
      </c>
      <c r="H9" s="357">
        <v>0</v>
      </c>
      <c r="I9" s="344">
        <f t="shared" si="1"/>
        <v>44231</v>
      </c>
      <c r="J9" s="345">
        <v>80</v>
      </c>
      <c r="K9" s="346" t="str">
        <f t="shared" si="7"/>
        <v>Mi</v>
      </c>
      <c r="L9" s="350" t="str">
        <v/>
      </c>
      <c r="M9" s="356" t="str">
        <v>FREI</v>
      </c>
      <c r="N9" s="357">
        <v>0</v>
      </c>
      <c r="O9" s="344">
        <f t="shared" si="2"/>
        <v>44259</v>
      </c>
      <c r="P9" s="345">
        <v>80</v>
      </c>
      <c r="Q9" s="346" t="str">
        <f t="shared" si="8"/>
        <v>Mi</v>
      </c>
      <c r="R9" s="350" t="str">
        <v/>
      </c>
      <c r="S9" s="356" t="str">
        <v>FREI</v>
      </c>
      <c r="T9" s="357">
        <v>0</v>
      </c>
      <c r="U9" s="344">
        <f t="shared" si="3"/>
        <v>44290</v>
      </c>
      <c r="V9" s="345">
        <v>80</v>
      </c>
      <c r="W9" s="346" t="str">
        <f t="shared" si="9"/>
        <v>Sa</v>
      </c>
      <c r="X9" s="350" t="str">
        <v/>
      </c>
      <c r="Y9" s="356">
        <v>0</v>
      </c>
      <c r="Z9" s="357">
        <v>0</v>
      </c>
      <c r="AA9" s="344">
        <f t="shared" si="4"/>
        <v>44320</v>
      </c>
      <c r="AB9" s="345">
        <v>80</v>
      </c>
      <c r="AC9" s="346" t="str">
        <f t="shared" si="10"/>
        <v>Mo</v>
      </c>
      <c r="AD9" s="350" t="str">
        <v/>
      </c>
      <c r="AE9" s="356" t="str">
        <v>FREI</v>
      </c>
      <c r="AF9" s="357">
        <v>0</v>
      </c>
      <c r="AG9" s="344">
        <f t="shared" si="5"/>
        <v>44351</v>
      </c>
      <c r="AH9" s="345">
        <v>80</v>
      </c>
      <c r="AI9" s="346" t="str">
        <f t="shared" si="11"/>
        <v>Do</v>
      </c>
      <c r="AJ9" s="350" t="str">
        <v/>
      </c>
      <c r="AK9" s="356" t="str">
        <v>FREI</v>
      </c>
      <c r="AL9" s="357">
        <v>0</v>
      </c>
      <c r="AN9" s="359" t="s">
        <v>139</v>
      </c>
      <c r="AO9" s="600" t="s">
        <v>137</v>
      </c>
      <c r="AP9" s="601"/>
      <c r="AQ9" s="602"/>
      <c r="AR9" s="352">
        <f>Zusammenzug!P34</f>
        <v>0</v>
      </c>
      <c r="AT9" s="10" t="s">
        <v>152</v>
      </c>
      <c r="AW9" s="108"/>
    </row>
    <row r="10" spans="2:49" x14ac:dyDescent="0.2">
      <c r="B10" s="343">
        <v>6</v>
      </c>
      <c r="C10" s="344">
        <f t="shared" si="0"/>
        <v>44201</v>
      </c>
      <c r="D10" s="345">
        <v>80</v>
      </c>
      <c r="E10" s="346" t="str">
        <f t="shared" si="6"/>
        <v>Mo</v>
      </c>
      <c r="F10" s="347" t="str">
        <v/>
      </c>
      <c r="G10" s="356" t="str">
        <v>FREI</v>
      </c>
      <c r="H10" s="357">
        <v>0</v>
      </c>
      <c r="I10" s="344">
        <f t="shared" si="1"/>
        <v>44232</v>
      </c>
      <c r="J10" s="345">
        <v>80</v>
      </c>
      <c r="K10" s="346" t="str">
        <f t="shared" si="7"/>
        <v>Do</v>
      </c>
      <c r="L10" s="350" t="str">
        <v/>
      </c>
      <c r="M10" s="356" t="str">
        <v>FREI</v>
      </c>
      <c r="N10" s="357">
        <v>0</v>
      </c>
      <c r="O10" s="344">
        <f t="shared" si="2"/>
        <v>44260</v>
      </c>
      <c r="P10" s="345">
        <v>80</v>
      </c>
      <c r="Q10" s="346" t="str">
        <f t="shared" si="8"/>
        <v>Do</v>
      </c>
      <c r="R10" s="350" t="str">
        <v/>
      </c>
      <c r="S10" s="356" t="str">
        <v>FREI</v>
      </c>
      <c r="T10" s="357">
        <v>0</v>
      </c>
      <c r="U10" s="344">
        <f t="shared" si="3"/>
        <v>44291</v>
      </c>
      <c r="V10" s="345">
        <v>80</v>
      </c>
      <c r="W10" s="346" t="str">
        <f t="shared" si="9"/>
        <v>So</v>
      </c>
      <c r="X10" s="350" t="str">
        <v/>
      </c>
      <c r="Y10" s="356">
        <v>0</v>
      </c>
      <c r="Z10" s="357">
        <v>0</v>
      </c>
      <c r="AA10" s="344">
        <f t="shared" si="4"/>
        <v>44321</v>
      </c>
      <c r="AB10" s="345">
        <v>80</v>
      </c>
      <c r="AC10" s="346" t="str">
        <f t="shared" si="10"/>
        <v>Di</v>
      </c>
      <c r="AD10" s="350" t="str">
        <v/>
      </c>
      <c r="AE10" s="356" t="str">
        <v>FREI</v>
      </c>
      <c r="AF10" s="357">
        <v>0</v>
      </c>
      <c r="AG10" s="344">
        <f t="shared" si="5"/>
        <v>44352</v>
      </c>
      <c r="AH10" s="345">
        <v>80</v>
      </c>
      <c r="AI10" s="346" t="str">
        <f t="shared" si="11"/>
        <v>Fr</v>
      </c>
      <c r="AJ10" s="350" t="str">
        <v/>
      </c>
      <c r="AK10" s="356" t="str">
        <v>FREI</v>
      </c>
      <c r="AL10" s="357">
        <v>0</v>
      </c>
      <c r="AN10" s="361" t="s">
        <v>140</v>
      </c>
      <c r="AO10" s="597" t="s">
        <v>138</v>
      </c>
      <c r="AP10" s="598"/>
      <c r="AQ10" s="599"/>
      <c r="AR10" s="352">
        <f>Zusammenzug!P35</f>
        <v>0</v>
      </c>
      <c r="AT10" s="10" t="s">
        <v>153</v>
      </c>
      <c r="AW10" s="103"/>
    </row>
    <row r="11" spans="2:49" x14ac:dyDescent="0.2">
      <c r="B11" s="343">
        <v>7</v>
      </c>
      <c r="C11" s="344">
        <f t="shared" si="0"/>
        <v>44202</v>
      </c>
      <c r="D11" s="345">
        <v>80</v>
      </c>
      <c r="E11" s="346" t="str">
        <f t="shared" si="6"/>
        <v>Di</v>
      </c>
      <c r="F11" s="347" t="str">
        <v/>
      </c>
      <c r="G11" s="356" t="str">
        <v>FREI</v>
      </c>
      <c r="H11" s="357">
        <v>0</v>
      </c>
      <c r="I11" s="344">
        <f t="shared" si="1"/>
        <v>44233</v>
      </c>
      <c r="J11" s="345">
        <v>80</v>
      </c>
      <c r="K11" s="346" t="str">
        <f t="shared" si="7"/>
        <v>Fr</v>
      </c>
      <c r="L11" s="350" t="str">
        <v/>
      </c>
      <c r="M11" s="356" t="str">
        <v>FREI</v>
      </c>
      <c r="N11" s="357">
        <v>0</v>
      </c>
      <c r="O11" s="344">
        <f t="shared" si="2"/>
        <v>44261</v>
      </c>
      <c r="P11" s="345">
        <v>80</v>
      </c>
      <c r="Q11" s="346" t="str">
        <f t="shared" si="8"/>
        <v>Fr</v>
      </c>
      <c r="R11" s="350" t="str">
        <v/>
      </c>
      <c r="S11" s="356" t="str">
        <v>FREI</v>
      </c>
      <c r="T11" s="357">
        <v>0</v>
      </c>
      <c r="U11" s="344">
        <f t="shared" si="3"/>
        <v>44292</v>
      </c>
      <c r="V11" s="345">
        <v>80</v>
      </c>
      <c r="W11" s="346" t="str">
        <f t="shared" si="9"/>
        <v>Mo</v>
      </c>
      <c r="X11" s="350" t="str">
        <v/>
      </c>
      <c r="Y11" s="356" t="str">
        <v>FREI</v>
      </c>
      <c r="Z11" s="357">
        <v>0</v>
      </c>
      <c r="AA11" s="344">
        <f t="shared" si="4"/>
        <v>44322</v>
      </c>
      <c r="AB11" s="345">
        <v>80</v>
      </c>
      <c r="AC11" s="346" t="str">
        <f t="shared" si="10"/>
        <v>Mi</v>
      </c>
      <c r="AD11" s="350" t="str">
        <v/>
      </c>
      <c r="AE11" s="356" t="str">
        <v>FREI</v>
      </c>
      <c r="AF11" s="357">
        <v>0</v>
      </c>
      <c r="AG11" s="344">
        <f t="shared" si="5"/>
        <v>44353</v>
      </c>
      <c r="AH11" s="345">
        <v>80</v>
      </c>
      <c r="AI11" s="346" t="str">
        <f t="shared" si="11"/>
        <v>Sa</v>
      </c>
      <c r="AJ11" s="350" t="str">
        <v/>
      </c>
      <c r="AK11" s="356">
        <v>0</v>
      </c>
      <c r="AL11" s="357">
        <v>0</v>
      </c>
      <c r="AN11" s="362" t="s">
        <v>145</v>
      </c>
      <c r="AO11" s="597" t="s">
        <v>26</v>
      </c>
      <c r="AP11" s="598"/>
      <c r="AQ11" s="599"/>
      <c r="AR11" s="352">
        <f>Zusammenzug!P36</f>
        <v>0</v>
      </c>
      <c r="AT11" s="10" t="s">
        <v>154</v>
      </c>
      <c r="AW11" s="103"/>
    </row>
    <row r="12" spans="2:49" x14ac:dyDescent="0.2">
      <c r="B12" s="343">
        <v>8</v>
      </c>
      <c r="C12" s="344">
        <f t="shared" si="0"/>
        <v>44203</v>
      </c>
      <c r="D12" s="345">
        <v>80</v>
      </c>
      <c r="E12" s="346" t="str">
        <f t="shared" si="6"/>
        <v>Mi</v>
      </c>
      <c r="F12" s="347" t="str">
        <v/>
      </c>
      <c r="G12" s="356" t="str">
        <v>FREI</v>
      </c>
      <c r="H12" s="357">
        <v>0</v>
      </c>
      <c r="I12" s="344">
        <f t="shared" si="1"/>
        <v>44234</v>
      </c>
      <c r="J12" s="345">
        <v>80</v>
      </c>
      <c r="K12" s="346" t="str">
        <f t="shared" si="7"/>
        <v>Sa</v>
      </c>
      <c r="L12" s="350" t="str">
        <v/>
      </c>
      <c r="M12" s="356">
        <v>0</v>
      </c>
      <c r="N12" s="357">
        <v>0</v>
      </c>
      <c r="O12" s="344">
        <f t="shared" si="2"/>
        <v>44262</v>
      </c>
      <c r="P12" s="345">
        <v>80</v>
      </c>
      <c r="Q12" s="346" t="str">
        <f t="shared" si="8"/>
        <v>Sa</v>
      </c>
      <c r="R12" s="350" t="str">
        <v/>
      </c>
      <c r="S12" s="356">
        <v>0</v>
      </c>
      <c r="T12" s="357">
        <v>0</v>
      </c>
      <c r="U12" s="344">
        <f t="shared" si="3"/>
        <v>44293</v>
      </c>
      <c r="V12" s="345">
        <v>80</v>
      </c>
      <c r="W12" s="346" t="str">
        <f t="shared" si="9"/>
        <v>Di</v>
      </c>
      <c r="X12" s="350" t="str">
        <v/>
      </c>
      <c r="Y12" s="356" t="str">
        <v>FREI</v>
      </c>
      <c r="Z12" s="357">
        <v>0</v>
      </c>
      <c r="AA12" s="344">
        <f t="shared" si="4"/>
        <v>44323</v>
      </c>
      <c r="AB12" s="345">
        <v>80</v>
      </c>
      <c r="AC12" s="346" t="str">
        <f t="shared" si="10"/>
        <v>Do</v>
      </c>
      <c r="AD12" s="350" t="str">
        <v/>
      </c>
      <c r="AE12" s="356" t="str">
        <v>FREI</v>
      </c>
      <c r="AF12" s="357">
        <v>0</v>
      </c>
      <c r="AG12" s="344">
        <f t="shared" si="5"/>
        <v>44354</v>
      </c>
      <c r="AH12" s="345">
        <v>80</v>
      </c>
      <c r="AI12" s="346" t="str">
        <f t="shared" si="11"/>
        <v>So</v>
      </c>
      <c r="AJ12" s="350" t="str">
        <v/>
      </c>
      <c r="AK12" s="356">
        <v>0</v>
      </c>
      <c r="AL12" s="357">
        <v>0</v>
      </c>
      <c r="AN12" s="363" t="s">
        <v>146</v>
      </c>
      <c r="AO12" s="597" t="s">
        <v>15</v>
      </c>
      <c r="AP12" s="598"/>
      <c r="AQ12" s="599"/>
      <c r="AR12" s="352">
        <f>Zusammenzug!P37</f>
        <v>0</v>
      </c>
      <c r="AT12" s="10" t="s">
        <v>155</v>
      </c>
      <c r="AW12" s="103"/>
    </row>
    <row r="13" spans="2:49" x14ac:dyDescent="0.2">
      <c r="B13" s="343">
        <v>9</v>
      </c>
      <c r="C13" s="344">
        <f t="shared" si="0"/>
        <v>44204</v>
      </c>
      <c r="D13" s="345">
        <v>80</v>
      </c>
      <c r="E13" s="346" t="str">
        <f t="shared" si="6"/>
        <v>Do</v>
      </c>
      <c r="F13" s="347" t="str">
        <v/>
      </c>
      <c r="G13" s="356" t="str">
        <v>FREI</v>
      </c>
      <c r="H13" s="357">
        <v>0</v>
      </c>
      <c r="I13" s="344">
        <f t="shared" si="1"/>
        <v>44235</v>
      </c>
      <c r="J13" s="345">
        <v>80</v>
      </c>
      <c r="K13" s="346" t="str">
        <f t="shared" si="7"/>
        <v>So</v>
      </c>
      <c r="L13" s="350" t="str">
        <v/>
      </c>
      <c r="M13" s="356">
        <v>0</v>
      </c>
      <c r="N13" s="357">
        <v>0</v>
      </c>
      <c r="O13" s="344">
        <f t="shared" si="2"/>
        <v>44263</v>
      </c>
      <c r="P13" s="345">
        <v>80</v>
      </c>
      <c r="Q13" s="346" t="str">
        <f t="shared" si="8"/>
        <v>So</v>
      </c>
      <c r="R13" s="350" t="str">
        <v/>
      </c>
      <c r="S13" s="356">
        <v>0</v>
      </c>
      <c r="T13" s="357">
        <v>0</v>
      </c>
      <c r="U13" s="344">
        <f t="shared" si="3"/>
        <v>44294</v>
      </c>
      <c r="V13" s="345">
        <v>80</v>
      </c>
      <c r="W13" s="346" t="str">
        <f t="shared" si="9"/>
        <v>Mi</v>
      </c>
      <c r="X13" s="350" t="str">
        <v/>
      </c>
      <c r="Y13" s="356" t="str">
        <v>FREI</v>
      </c>
      <c r="Z13" s="357">
        <v>0</v>
      </c>
      <c r="AA13" s="344">
        <f t="shared" si="4"/>
        <v>44324</v>
      </c>
      <c r="AB13" s="345">
        <v>80</v>
      </c>
      <c r="AC13" s="346" t="str">
        <f t="shared" si="10"/>
        <v>Fr</v>
      </c>
      <c r="AD13" s="350" t="str">
        <v/>
      </c>
      <c r="AE13" s="356" t="str">
        <v>FREI</v>
      </c>
      <c r="AF13" s="357">
        <v>0</v>
      </c>
      <c r="AG13" s="344">
        <f t="shared" si="5"/>
        <v>44355</v>
      </c>
      <c r="AH13" s="345">
        <v>80</v>
      </c>
      <c r="AI13" s="346" t="str">
        <f t="shared" si="11"/>
        <v>Mo</v>
      </c>
      <c r="AJ13" s="350" t="str">
        <v/>
      </c>
      <c r="AK13" s="356">
        <v>0</v>
      </c>
      <c r="AL13" s="357">
        <v>0</v>
      </c>
      <c r="AN13" s="364" t="s">
        <v>147</v>
      </c>
      <c r="AO13" s="597" t="s">
        <v>17</v>
      </c>
      <c r="AP13" s="598"/>
      <c r="AQ13" s="599"/>
      <c r="AR13" s="352">
        <f>Zusammenzug!P38</f>
        <v>0</v>
      </c>
      <c r="AT13" s="10" t="s">
        <v>156</v>
      </c>
      <c r="AW13" s="103"/>
    </row>
    <row r="14" spans="2:49" x14ac:dyDescent="0.2">
      <c r="B14" s="343">
        <v>10</v>
      </c>
      <c r="C14" s="344">
        <f t="shared" si="0"/>
        <v>44205</v>
      </c>
      <c r="D14" s="345">
        <v>80</v>
      </c>
      <c r="E14" s="346" t="str">
        <f t="shared" si="6"/>
        <v>Fr</v>
      </c>
      <c r="F14" s="347" t="str">
        <v/>
      </c>
      <c r="G14" s="356" t="str">
        <v>FREI</v>
      </c>
      <c r="H14" s="357">
        <v>0</v>
      </c>
      <c r="I14" s="344">
        <f t="shared" si="1"/>
        <v>44236</v>
      </c>
      <c r="J14" s="345">
        <v>80</v>
      </c>
      <c r="K14" s="346" t="str">
        <f t="shared" si="7"/>
        <v>Mo</v>
      </c>
      <c r="L14" s="350" t="str">
        <v/>
      </c>
      <c r="M14" s="356" t="str">
        <v>FREI</v>
      </c>
      <c r="N14" s="357">
        <v>0</v>
      </c>
      <c r="O14" s="344">
        <f t="shared" si="2"/>
        <v>44264</v>
      </c>
      <c r="P14" s="345">
        <v>80</v>
      </c>
      <c r="Q14" s="346" t="str">
        <f t="shared" si="8"/>
        <v>Mo</v>
      </c>
      <c r="R14" s="350" t="str">
        <v/>
      </c>
      <c r="S14" s="356" t="str">
        <v>FREI</v>
      </c>
      <c r="T14" s="357">
        <v>0</v>
      </c>
      <c r="U14" s="344">
        <f t="shared" si="3"/>
        <v>44295</v>
      </c>
      <c r="V14" s="345">
        <v>80</v>
      </c>
      <c r="W14" s="346" t="str">
        <f t="shared" si="9"/>
        <v>Do</v>
      </c>
      <c r="X14" s="350" t="str">
        <v/>
      </c>
      <c r="Y14" s="356" t="str">
        <v>FREI</v>
      </c>
      <c r="Z14" s="357">
        <v>0</v>
      </c>
      <c r="AA14" s="344">
        <f t="shared" si="4"/>
        <v>44325</v>
      </c>
      <c r="AB14" s="345">
        <v>80</v>
      </c>
      <c r="AC14" s="346" t="str">
        <f t="shared" si="10"/>
        <v>Sa</v>
      </c>
      <c r="AD14" s="350" t="str">
        <v/>
      </c>
      <c r="AE14" s="356">
        <v>0</v>
      </c>
      <c r="AF14" s="357">
        <v>0</v>
      </c>
      <c r="AG14" s="344">
        <f t="shared" si="5"/>
        <v>44356</v>
      </c>
      <c r="AH14" s="345">
        <v>80</v>
      </c>
      <c r="AI14" s="346" t="str">
        <f t="shared" si="11"/>
        <v>Di</v>
      </c>
      <c r="AJ14" s="350" t="str">
        <v/>
      </c>
      <c r="AK14" s="356" t="str">
        <v>FREI</v>
      </c>
      <c r="AL14" s="357">
        <v>0</v>
      </c>
    </row>
    <row r="15" spans="2:49" x14ac:dyDescent="0.2">
      <c r="B15" s="343">
        <v>11</v>
      </c>
      <c r="C15" s="344">
        <f t="shared" si="0"/>
        <v>44206</v>
      </c>
      <c r="D15" s="345">
        <v>80</v>
      </c>
      <c r="E15" s="346" t="str">
        <f t="shared" si="6"/>
        <v>Sa</v>
      </c>
      <c r="F15" s="347" t="str">
        <v/>
      </c>
      <c r="G15" s="356">
        <v>0</v>
      </c>
      <c r="H15" s="357">
        <v>0</v>
      </c>
      <c r="I15" s="344">
        <f t="shared" si="1"/>
        <v>44237</v>
      </c>
      <c r="J15" s="345">
        <v>80</v>
      </c>
      <c r="K15" s="346" t="str">
        <f t="shared" si="7"/>
        <v>Di</v>
      </c>
      <c r="L15" s="350" t="str">
        <v/>
      </c>
      <c r="M15" s="356" t="str">
        <v>FREI</v>
      </c>
      <c r="N15" s="357">
        <v>0</v>
      </c>
      <c r="O15" s="344">
        <f t="shared" si="2"/>
        <v>44265</v>
      </c>
      <c r="P15" s="345">
        <v>80</v>
      </c>
      <c r="Q15" s="346" t="str">
        <f t="shared" si="8"/>
        <v>Di</v>
      </c>
      <c r="R15" s="350" t="str">
        <v/>
      </c>
      <c r="S15" s="356" t="str">
        <v>FREI</v>
      </c>
      <c r="T15" s="357">
        <v>0</v>
      </c>
      <c r="U15" s="344">
        <f t="shared" si="3"/>
        <v>44296</v>
      </c>
      <c r="V15" s="345">
        <v>80</v>
      </c>
      <c r="W15" s="346" t="str">
        <f t="shared" si="9"/>
        <v>Fr</v>
      </c>
      <c r="X15" s="350" t="str">
        <v/>
      </c>
      <c r="Y15" s="356" t="str">
        <v>FREI</v>
      </c>
      <c r="Z15" s="357">
        <v>0</v>
      </c>
      <c r="AA15" s="344">
        <f t="shared" si="4"/>
        <v>44326</v>
      </c>
      <c r="AB15" s="345">
        <v>80</v>
      </c>
      <c r="AC15" s="346" t="str">
        <f t="shared" si="10"/>
        <v>So</v>
      </c>
      <c r="AD15" s="350" t="str">
        <v/>
      </c>
      <c r="AE15" s="356">
        <v>0</v>
      </c>
      <c r="AF15" s="357">
        <v>0</v>
      </c>
      <c r="AG15" s="344">
        <f t="shared" si="5"/>
        <v>44357</v>
      </c>
      <c r="AH15" s="345">
        <v>80</v>
      </c>
      <c r="AI15" s="346" t="str">
        <f t="shared" si="11"/>
        <v>Mi</v>
      </c>
      <c r="AJ15" s="350" t="str">
        <v/>
      </c>
      <c r="AK15" s="356" t="str">
        <v>FREI</v>
      </c>
      <c r="AL15" s="357">
        <v>0</v>
      </c>
      <c r="AN15" s="462" t="s">
        <v>270</v>
      </c>
      <c r="AO15" s="605" t="s">
        <v>185</v>
      </c>
      <c r="AP15" s="551"/>
      <c r="AQ15" s="551"/>
    </row>
    <row r="16" spans="2:49" x14ac:dyDescent="0.2">
      <c r="B16" s="343">
        <v>12</v>
      </c>
      <c r="C16" s="344">
        <f t="shared" si="0"/>
        <v>44207</v>
      </c>
      <c r="D16" s="345">
        <v>80</v>
      </c>
      <c r="E16" s="346" t="str">
        <f t="shared" si="6"/>
        <v>So</v>
      </c>
      <c r="F16" s="347" t="str">
        <v/>
      </c>
      <c r="G16" s="356">
        <v>0</v>
      </c>
      <c r="H16" s="357">
        <v>0</v>
      </c>
      <c r="I16" s="344">
        <f t="shared" si="1"/>
        <v>44238</v>
      </c>
      <c r="J16" s="345">
        <v>80</v>
      </c>
      <c r="K16" s="346" t="str">
        <f t="shared" si="7"/>
        <v>Mi</v>
      </c>
      <c r="L16" s="350" t="str">
        <v/>
      </c>
      <c r="M16" s="356" t="str">
        <v>FREI</v>
      </c>
      <c r="N16" s="357">
        <v>0</v>
      </c>
      <c r="O16" s="344">
        <f t="shared" si="2"/>
        <v>44266</v>
      </c>
      <c r="P16" s="345">
        <v>80</v>
      </c>
      <c r="Q16" s="346" t="str">
        <f t="shared" si="8"/>
        <v>Mi</v>
      </c>
      <c r="R16" s="350" t="str">
        <v/>
      </c>
      <c r="S16" s="356" t="str">
        <v>FREI</v>
      </c>
      <c r="T16" s="357">
        <v>0</v>
      </c>
      <c r="U16" s="344">
        <f t="shared" si="3"/>
        <v>44297</v>
      </c>
      <c r="V16" s="345">
        <v>80</v>
      </c>
      <c r="W16" s="346" t="str">
        <f t="shared" si="9"/>
        <v>Sa</v>
      </c>
      <c r="X16" s="350" t="str">
        <v/>
      </c>
      <c r="Y16" s="356">
        <v>0</v>
      </c>
      <c r="Z16" s="357">
        <v>0</v>
      </c>
      <c r="AA16" s="344">
        <f t="shared" si="4"/>
        <v>44327</v>
      </c>
      <c r="AB16" s="345">
        <v>80</v>
      </c>
      <c r="AC16" s="346" t="str">
        <f t="shared" si="10"/>
        <v>Mo</v>
      </c>
      <c r="AD16" s="350" t="str">
        <v/>
      </c>
      <c r="AE16" s="356" t="str">
        <v>FREI</v>
      </c>
      <c r="AF16" s="357">
        <v>0</v>
      </c>
      <c r="AG16" s="344">
        <f t="shared" si="5"/>
        <v>44358</v>
      </c>
      <c r="AH16" s="345">
        <v>80</v>
      </c>
      <c r="AI16" s="346" t="str">
        <f t="shared" si="11"/>
        <v>Do</v>
      </c>
      <c r="AJ16" s="350" t="str">
        <v/>
      </c>
      <c r="AK16" s="356" t="str">
        <v>FREI</v>
      </c>
      <c r="AL16" s="357">
        <v>0</v>
      </c>
      <c r="AN16" s="365"/>
      <c r="AO16" s="605" t="s">
        <v>203</v>
      </c>
      <c r="AP16" s="551"/>
      <c r="AQ16" s="551"/>
    </row>
    <row r="17" spans="2:48" x14ac:dyDescent="0.2">
      <c r="B17" s="343">
        <v>13</v>
      </c>
      <c r="C17" s="344">
        <f t="shared" si="0"/>
        <v>44208</v>
      </c>
      <c r="D17" s="345">
        <v>80</v>
      </c>
      <c r="E17" s="346" t="str">
        <f t="shared" si="6"/>
        <v>Mo</v>
      </c>
      <c r="F17" s="347" t="str">
        <v/>
      </c>
      <c r="G17" s="356" t="str">
        <v>FREI</v>
      </c>
      <c r="H17" s="357">
        <v>0</v>
      </c>
      <c r="I17" s="344">
        <f t="shared" si="1"/>
        <v>44239</v>
      </c>
      <c r="J17" s="345">
        <v>80</v>
      </c>
      <c r="K17" s="346" t="str">
        <f t="shared" si="7"/>
        <v>Do</v>
      </c>
      <c r="L17" s="350" t="str">
        <v/>
      </c>
      <c r="M17" s="356" t="str">
        <v>FREI</v>
      </c>
      <c r="N17" s="357">
        <v>0</v>
      </c>
      <c r="O17" s="344">
        <f t="shared" si="2"/>
        <v>44267</v>
      </c>
      <c r="P17" s="345">
        <v>80</v>
      </c>
      <c r="Q17" s="346" t="str">
        <f t="shared" si="8"/>
        <v>Do</v>
      </c>
      <c r="R17" s="350" t="str">
        <v/>
      </c>
      <c r="S17" s="356" t="str">
        <v>FREI</v>
      </c>
      <c r="T17" s="357">
        <v>0</v>
      </c>
      <c r="U17" s="344">
        <f t="shared" si="3"/>
        <v>44298</v>
      </c>
      <c r="V17" s="345">
        <v>80</v>
      </c>
      <c r="W17" s="346" t="str">
        <f t="shared" si="9"/>
        <v>So</v>
      </c>
      <c r="X17" s="350" t="str">
        <v/>
      </c>
      <c r="Y17" s="356">
        <v>0</v>
      </c>
      <c r="Z17" s="357">
        <v>0</v>
      </c>
      <c r="AA17" s="344">
        <f t="shared" si="4"/>
        <v>44328</v>
      </c>
      <c r="AB17" s="345">
        <v>80</v>
      </c>
      <c r="AC17" s="346" t="str">
        <f t="shared" si="10"/>
        <v>Di</v>
      </c>
      <c r="AD17" s="350" t="str">
        <v/>
      </c>
      <c r="AE17" s="356" t="str">
        <v>FREI</v>
      </c>
      <c r="AF17" s="357">
        <v>0</v>
      </c>
      <c r="AG17" s="344">
        <f t="shared" si="5"/>
        <v>44359</v>
      </c>
      <c r="AH17" s="345">
        <v>80</v>
      </c>
      <c r="AI17" s="346" t="str">
        <f t="shared" si="11"/>
        <v>Fr</v>
      </c>
      <c r="AJ17" s="350" t="str">
        <v/>
      </c>
      <c r="AK17" s="356" t="str">
        <v>FREI</v>
      </c>
      <c r="AL17" s="357">
        <v>0</v>
      </c>
    </row>
    <row r="18" spans="2:48" ht="12.75" customHeight="1" x14ac:dyDescent="0.2">
      <c r="B18" s="343">
        <v>14</v>
      </c>
      <c r="C18" s="344">
        <f t="shared" si="0"/>
        <v>44209</v>
      </c>
      <c r="D18" s="345">
        <v>80</v>
      </c>
      <c r="E18" s="346" t="str">
        <f t="shared" si="6"/>
        <v>Di</v>
      </c>
      <c r="F18" s="347" t="str">
        <v/>
      </c>
      <c r="G18" s="356" t="str">
        <v>FREI</v>
      </c>
      <c r="H18" s="357">
        <v>0</v>
      </c>
      <c r="I18" s="344">
        <f t="shared" si="1"/>
        <v>44240</v>
      </c>
      <c r="J18" s="345">
        <v>80</v>
      </c>
      <c r="K18" s="346" t="str">
        <f t="shared" si="7"/>
        <v>Fr</v>
      </c>
      <c r="L18" s="350" t="str">
        <v/>
      </c>
      <c r="M18" s="356" t="str">
        <v>FREI</v>
      </c>
      <c r="N18" s="357">
        <v>0</v>
      </c>
      <c r="O18" s="344">
        <f t="shared" si="2"/>
        <v>44268</v>
      </c>
      <c r="P18" s="345">
        <v>80</v>
      </c>
      <c r="Q18" s="346" t="str">
        <f t="shared" si="8"/>
        <v>Fr</v>
      </c>
      <c r="R18" s="350" t="str">
        <v/>
      </c>
      <c r="S18" s="356" t="str">
        <v>FREI</v>
      </c>
      <c r="T18" s="357">
        <v>0</v>
      </c>
      <c r="U18" s="344">
        <f t="shared" si="3"/>
        <v>44299</v>
      </c>
      <c r="V18" s="345">
        <v>80</v>
      </c>
      <c r="W18" s="346" t="str">
        <f t="shared" si="9"/>
        <v>Mo</v>
      </c>
      <c r="X18" s="350" t="str">
        <v/>
      </c>
      <c r="Y18" s="356" t="str">
        <v>FREI</v>
      </c>
      <c r="Z18" s="357">
        <v>0</v>
      </c>
      <c r="AA18" s="344">
        <f t="shared" si="4"/>
        <v>44329</v>
      </c>
      <c r="AB18" s="345">
        <v>80</v>
      </c>
      <c r="AC18" s="346" t="str">
        <f t="shared" si="10"/>
        <v>Mi</v>
      </c>
      <c r="AD18" s="350" t="str">
        <v/>
      </c>
      <c r="AE18" s="356" t="str">
        <v>FREI</v>
      </c>
      <c r="AF18" s="357">
        <v>0</v>
      </c>
      <c r="AG18" s="344">
        <f t="shared" si="5"/>
        <v>44360</v>
      </c>
      <c r="AH18" s="345">
        <v>80</v>
      </c>
      <c r="AI18" s="346" t="str">
        <f t="shared" si="11"/>
        <v>Sa</v>
      </c>
      <c r="AJ18" s="350" t="str">
        <v/>
      </c>
      <c r="AK18" s="356">
        <v>0</v>
      </c>
      <c r="AL18" s="357">
        <v>0</v>
      </c>
      <c r="AV18" s="274"/>
    </row>
    <row r="19" spans="2:48" x14ac:dyDescent="0.2">
      <c r="B19" s="343">
        <v>15</v>
      </c>
      <c r="C19" s="344">
        <f t="shared" si="0"/>
        <v>44210</v>
      </c>
      <c r="D19" s="345">
        <v>80</v>
      </c>
      <c r="E19" s="346" t="str">
        <f t="shared" si="6"/>
        <v>Mi</v>
      </c>
      <c r="F19" s="347" t="str">
        <v/>
      </c>
      <c r="G19" s="356" t="str">
        <v>FREI</v>
      </c>
      <c r="H19" s="357">
        <v>0</v>
      </c>
      <c r="I19" s="344">
        <f t="shared" si="1"/>
        <v>44241</v>
      </c>
      <c r="J19" s="345">
        <v>80</v>
      </c>
      <c r="K19" s="346" t="str">
        <f t="shared" si="7"/>
        <v>Sa</v>
      </c>
      <c r="L19" s="350" t="str">
        <v/>
      </c>
      <c r="M19" s="356">
        <v>0</v>
      </c>
      <c r="N19" s="357">
        <v>0</v>
      </c>
      <c r="O19" s="344">
        <f t="shared" si="2"/>
        <v>44269</v>
      </c>
      <c r="P19" s="345">
        <v>80</v>
      </c>
      <c r="Q19" s="346" t="str">
        <f t="shared" si="8"/>
        <v>Sa</v>
      </c>
      <c r="R19" s="350" t="str">
        <v/>
      </c>
      <c r="S19" s="356">
        <v>0</v>
      </c>
      <c r="T19" s="357">
        <v>0</v>
      </c>
      <c r="U19" s="344">
        <f t="shared" si="3"/>
        <v>44300</v>
      </c>
      <c r="V19" s="345">
        <v>80</v>
      </c>
      <c r="W19" s="346" t="str">
        <f t="shared" si="9"/>
        <v>Di</v>
      </c>
      <c r="X19" s="350" t="str">
        <v/>
      </c>
      <c r="Y19" s="356" t="str">
        <v>FREI</v>
      </c>
      <c r="Z19" s="357">
        <v>0</v>
      </c>
      <c r="AA19" s="344">
        <f t="shared" si="4"/>
        <v>44330</v>
      </c>
      <c r="AB19" s="345">
        <v>80</v>
      </c>
      <c r="AC19" s="346" t="str">
        <f t="shared" si="10"/>
        <v>Do</v>
      </c>
      <c r="AD19" s="350" t="str">
        <v/>
      </c>
      <c r="AE19" s="356" t="str">
        <v>FREI</v>
      </c>
      <c r="AF19" s="357">
        <v>0</v>
      </c>
      <c r="AG19" s="344">
        <f t="shared" si="5"/>
        <v>44361</v>
      </c>
      <c r="AH19" s="345">
        <v>80</v>
      </c>
      <c r="AI19" s="346" t="str">
        <f t="shared" si="11"/>
        <v>So</v>
      </c>
      <c r="AJ19" s="350" t="str">
        <v/>
      </c>
      <c r="AK19" s="356">
        <v>0</v>
      </c>
      <c r="AL19" s="357">
        <v>0</v>
      </c>
      <c r="AN19" s="11" t="s">
        <v>206</v>
      </c>
      <c r="AT19" s="366"/>
      <c r="AU19" s="366"/>
      <c r="AV19" s="366"/>
    </row>
    <row r="20" spans="2:48" ht="12.75" customHeight="1" x14ac:dyDescent="0.2">
      <c r="B20" s="343">
        <v>16</v>
      </c>
      <c r="C20" s="344">
        <f t="shared" si="0"/>
        <v>44211</v>
      </c>
      <c r="D20" s="345">
        <v>80</v>
      </c>
      <c r="E20" s="346" t="str">
        <f t="shared" si="6"/>
        <v>Do</v>
      </c>
      <c r="F20" s="347" t="str">
        <v/>
      </c>
      <c r="G20" s="356" t="str">
        <v>FREI</v>
      </c>
      <c r="H20" s="357">
        <v>0</v>
      </c>
      <c r="I20" s="344">
        <f t="shared" si="1"/>
        <v>44242</v>
      </c>
      <c r="J20" s="345">
        <v>80</v>
      </c>
      <c r="K20" s="346" t="str">
        <f t="shared" si="7"/>
        <v>So</v>
      </c>
      <c r="L20" s="350" t="str">
        <v/>
      </c>
      <c r="M20" s="356">
        <v>0</v>
      </c>
      <c r="N20" s="357">
        <v>0</v>
      </c>
      <c r="O20" s="344">
        <f t="shared" si="2"/>
        <v>44270</v>
      </c>
      <c r="P20" s="345">
        <v>80</v>
      </c>
      <c r="Q20" s="346" t="str">
        <f t="shared" si="8"/>
        <v>So</v>
      </c>
      <c r="R20" s="350" t="str">
        <v/>
      </c>
      <c r="S20" s="356">
        <v>0</v>
      </c>
      <c r="T20" s="357">
        <v>0</v>
      </c>
      <c r="U20" s="344">
        <f t="shared" si="3"/>
        <v>44301</v>
      </c>
      <c r="V20" s="345">
        <v>80</v>
      </c>
      <c r="W20" s="346" t="str">
        <f t="shared" si="9"/>
        <v>Mi</v>
      </c>
      <c r="X20" s="350" t="str">
        <v/>
      </c>
      <c r="Y20" s="356" t="str">
        <v>FREI</v>
      </c>
      <c r="Z20" s="357">
        <v>0</v>
      </c>
      <c r="AA20" s="344">
        <f t="shared" si="4"/>
        <v>44331</v>
      </c>
      <c r="AB20" s="345">
        <v>80</v>
      </c>
      <c r="AC20" s="346" t="str">
        <f t="shared" si="10"/>
        <v>Fr</v>
      </c>
      <c r="AD20" s="350" t="str">
        <v/>
      </c>
      <c r="AE20" s="356" t="str">
        <v>FREI</v>
      </c>
      <c r="AF20" s="357">
        <v>0</v>
      </c>
      <c r="AG20" s="344">
        <f t="shared" si="5"/>
        <v>44362</v>
      </c>
      <c r="AH20" s="345">
        <v>80</v>
      </c>
      <c r="AI20" s="346" t="str">
        <f t="shared" si="11"/>
        <v>Mo</v>
      </c>
      <c r="AJ20" s="350" t="str">
        <v/>
      </c>
      <c r="AK20" s="356" t="str">
        <v>FREI</v>
      </c>
      <c r="AL20" s="357">
        <v>0</v>
      </c>
      <c r="AN20" s="95" t="s">
        <v>199</v>
      </c>
      <c r="AO20" s="95"/>
      <c r="AP20" s="95"/>
      <c r="AQ20" s="95"/>
      <c r="AR20" s="95"/>
    </row>
    <row r="21" spans="2:48" x14ac:dyDescent="0.2">
      <c r="B21" s="343">
        <v>17</v>
      </c>
      <c r="C21" s="344">
        <f t="shared" si="0"/>
        <v>44212</v>
      </c>
      <c r="D21" s="345">
        <v>80</v>
      </c>
      <c r="E21" s="346" t="str">
        <f t="shared" si="6"/>
        <v>Fr</v>
      </c>
      <c r="F21" s="347" t="str">
        <v/>
      </c>
      <c r="G21" s="356" t="str">
        <v>FREI</v>
      </c>
      <c r="H21" s="357">
        <v>0</v>
      </c>
      <c r="I21" s="344">
        <f t="shared" si="1"/>
        <v>44243</v>
      </c>
      <c r="J21" s="345">
        <v>80</v>
      </c>
      <c r="K21" s="346" t="str">
        <f t="shared" si="7"/>
        <v>Mo</v>
      </c>
      <c r="L21" s="350" t="str">
        <v/>
      </c>
      <c r="M21" s="356" t="str">
        <v>FREI</v>
      </c>
      <c r="N21" s="357">
        <v>0</v>
      </c>
      <c r="O21" s="344">
        <f t="shared" si="2"/>
        <v>44271</v>
      </c>
      <c r="P21" s="345">
        <v>80</v>
      </c>
      <c r="Q21" s="346" t="str">
        <f t="shared" si="8"/>
        <v>Mo</v>
      </c>
      <c r="R21" s="350" t="str">
        <v/>
      </c>
      <c r="S21" s="356" t="str">
        <v>FREI</v>
      </c>
      <c r="T21" s="357">
        <v>0</v>
      </c>
      <c r="U21" s="344">
        <f t="shared" si="3"/>
        <v>44302</v>
      </c>
      <c r="V21" s="345">
        <v>80</v>
      </c>
      <c r="W21" s="346" t="str">
        <f t="shared" si="9"/>
        <v>Do</v>
      </c>
      <c r="X21" s="350" t="str">
        <v/>
      </c>
      <c r="Y21" s="356" t="str">
        <v>FREI</v>
      </c>
      <c r="Z21" s="357">
        <v>0</v>
      </c>
      <c r="AA21" s="344">
        <f t="shared" si="4"/>
        <v>44332</v>
      </c>
      <c r="AB21" s="345">
        <v>80</v>
      </c>
      <c r="AC21" s="346" t="str">
        <f t="shared" si="10"/>
        <v>Sa</v>
      </c>
      <c r="AD21" s="350" t="str">
        <v/>
      </c>
      <c r="AE21" s="356">
        <v>0</v>
      </c>
      <c r="AF21" s="357">
        <v>0</v>
      </c>
      <c r="AG21" s="344">
        <f t="shared" si="5"/>
        <v>44363</v>
      </c>
      <c r="AH21" s="345">
        <v>80</v>
      </c>
      <c r="AI21" s="346" t="str">
        <f t="shared" si="11"/>
        <v>Di</v>
      </c>
      <c r="AJ21" s="350" t="str">
        <v/>
      </c>
      <c r="AK21" s="356" t="str">
        <v>FREI</v>
      </c>
      <c r="AL21" s="357">
        <v>0</v>
      </c>
      <c r="AO21" s="603" t="s">
        <v>202</v>
      </c>
      <c r="AP21" s="603"/>
      <c r="AQ21" s="603"/>
      <c r="AR21" s="604" t="s">
        <v>75</v>
      </c>
    </row>
    <row r="22" spans="2:48" x14ac:dyDescent="0.2">
      <c r="B22" s="343">
        <v>18</v>
      </c>
      <c r="C22" s="344">
        <f t="shared" si="0"/>
        <v>44213</v>
      </c>
      <c r="D22" s="345">
        <v>80</v>
      </c>
      <c r="E22" s="346" t="str">
        <f t="shared" si="6"/>
        <v>Sa</v>
      </c>
      <c r="F22" s="347" t="str">
        <v/>
      </c>
      <c r="G22" s="356">
        <v>0</v>
      </c>
      <c r="H22" s="357">
        <v>0</v>
      </c>
      <c r="I22" s="344">
        <f t="shared" si="1"/>
        <v>44244</v>
      </c>
      <c r="J22" s="345">
        <v>80</v>
      </c>
      <c r="K22" s="346" t="str">
        <f t="shared" si="7"/>
        <v>Di</v>
      </c>
      <c r="L22" s="350" t="str">
        <v/>
      </c>
      <c r="M22" s="356" t="str">
        <v>FREI</v>
      </c>
      <c r="N22" s="357">
        <v>0</v>
      </c>
      <c r="O22" s="344">
        <f t="shared" si="2"/>
        <v>44272</v>
      </c>
      <c r="P22" s="345">
        <v>80</v>
      </c>
      <c r="Q22" s="346" t="str">
        <f t="shared" si="8"/>
        <v>Di</v>
      </c>
      <c r="R22" s="350" t="str">
        <v/>
      </c>
      <c r="S22" s="356" t="str">
        <v>FREI</v>
      </c>
      <c r="T22" s="357">
        <v>0</v>
      </c>
      <c r="U22" s="344">
        <f t="shared" si="3"/>
        <v>44303</v>
      </c>
      <c r="V22" s="345">
        <v>80</v>
      </c>
      <c r="W22" s="346" t="str">
        <f t="shared" si="9"/>
        <v>Fr</v>
      </c>
      <c r="X22" s="350" t="str">
        <v/>
      </c>
      <c r="Y22" s="356">
        <v>0</v>
      </c>
      <c r="Z22" s="357">
        <v>0</v>
      </c>
      <c r="AA22" s="344">
        <f t="shared" si="4"/>
        <v>44333</v>
      </c>
      <c r="AB22" s="345">
        <v>80</v>
      </c>
      <c r="AC22" s="346" t="str">
        <f t="shared" si="10"/>
        <v>So</v>
      </c>
      <c r="AD22" s="350" t="str">
        <v/>
      </c>
      <c r="AE22" s="356">
        <v>0</v>
      </c>
      <c r="AF22" s="357">
        <v>0</v>
      </c>
      <c r="AG22" s="344">
        <f t="shared" si="5"/>
        <v>44364</v>
      </c>
      <c r="AH22" s="345">
        <v>80</v>
      </c>
      <c r="AI22" s="346" t="str">
        <f t="shared" si="11"/>
        <v>Mi</v>
      </c>
      <c r="AJ22" s="350" t="str">
        <v/>
      </c>
      <c r="AK22" s="356" t="str">
        <v>FREI</v>
      </c>
      <c r="AL22" s="357">
        <v>0</v>
      </c>
      <c r="AO22" s="603"/>
      <c r="AP22" s="603"/>
      <c r="AQ22" s="603"/>
      <c r="AR22" s="604"/>
    </row>
    <row r="23" spans="2:48" x14ac:dyDescent="0.2">
      <c r="B23" s="343">
        <v>19</v>
      </c>
      <c r="C23" s="344">
        <f t="shared" si="0"/>
        <v>44214</v>
      </c>
      <c r="D23" s="345">
        <v>80</v>
      </c>
      <c r="E23" s="346" t="str">
        <f t="shared" si="6"/>
        <v>So</v>
      </c>
      <c r="F23" s="347" t="str">
        <v/>
      </c>
      <c r="G23" s="356">
        <v>0</v>
      </c>
      <c r="H23" s="357">
        <v>0</v>
      </c>
      <c r="I23" s="344">
        <f t="shared" si="1"/>
        <v>44245</v>
      </c>
      <c r="J23" s="345">
        <v>80</v>
      </c>
      <c r="K23" s="346" t="str">
        <f t="shared" si="7"/>
        <v>Mi</v>
      </c>
      <c r="L23" s="350" t="str">
        <v/>
      </c>
      <c r="M23" s="356" t="str">
        <v>FREI</v>
      </c>
      <c r="N23" s="357">
        <v>0</v>
      </c>
      <c r="O23" s="344">
        <f t="shared" si="2"/>
        <v>44273</v>
      </c>
      <c r="P23" s="345">
        <v>80</v>
      </c>
      <c r="Q23" s="346" t="str">
        <f t="shared" si="8"/>
        <v>Mi</v>
      </c>
      <c r="R23" s="350" t="str">
        <v/>
      </c>
      <c r="S23" s="356" t="str">
        <v>FREI</v>
      </c>
      <c r="T23" s="357">
        <v>0</v>
      </c>
      <c r="U23" s="344">
        <f t="shared" si="3"/>
        <v>44304</v>
      </c>
      <c r="V23" s="345">
        <v>80</v>
      </c>
      <c r="W23" s="346" t="str">
        <f t="shared" si="9"/>
        <v>Sa</v>
      </c>
      <c r="X23" s="350" t="str">
        <v/>
      </c>
      <c r="Y23" s="356">
        <v>0</v>
      </c>
      <c r="Z23" s="357">
        <v>0</v>
      </c>
      <c r="AA23" s="344">
        <f t="shared" si="4"/>
        <v>44334</v>
      </c>
      <c r="AB23" s="345">
        <v>80</v>
      </c>
      <c r="AC23" s="346" t="str">
        <f t="shared" si="10"/>
        <v>Mo</v>
      </c>
      <c r="AD23" s="350" t="str">
        <v/>
      </c>
      <c r="AE23" s="356" t="str">
        <v>FREI</v>
      </c>
      <c r="AF23" s="357">
        <v>0</v>
      </c>
      <c r="AG23" s="344">
        <f t="shared" si="5"/>
        <v>44365</v>
      </c>
      <c r="AH23" s="345">
        <v>80</v>
      </c>
      <c r="AI23" s="346" t="str">
        <f t="shared" si="11"/>
        <v>Do</v>
      </c>
      <c r="AJ23" s="350" t="str">
        <v/>
      </c>
      <c r="AK23" s="356" t="str">
        <v>FREI</v>
      </c>
      <c r="AL23" s="357">
        <v>0</v>
      </c>
      <c r="AN23" s="367" t="s">
        <v>3</v>
      </c>
      <c r="AO23" s="368" t="str">
        <f>Jan!AO$54</f>
        <v/>
      </c>
      <c r="AP23" s="369"/>
      <c r="AQ23" s="370">
        <f>Jan!AM$54</f>
        <v>0</v>
      </c>
      <c r="AR23" s="371">
        <f t="shared" ref="AR23:AR34" si="12">AQ23/TaginSt/JahresBG*100</f>
        <v>0</v>
      </c>
    </row>
    <row r="24" spans="2:48" x14ac:dyDescent="0.2">
      <c r="B24" s="343">
        <v>20</v>
      </c>
      <c r="C24" s="344">
        <f t="shared" si="0"/>
        <v>44215</v>
      </c>
      <c r="D24" s="345">
        <v>80</v>
      </c>
      <c r="E24" s="346" t="str">
        <f t="shared" si="6"/>
        <v>Mo</v>
      </c>
      <c r="F24" s="347" t="str">
        <v/>
      </c>
      <c r="G24" s="356" t="str">
        <v>FREI</v>
      </c>
      <c r="H24" s="357">
        <v>0</v>
      </c>
      <c r="I24" s="344">
        <f t="shared" si="1"/>
        <v>44246</v>
      </c>
      <c r="J24" s="345">
        <v>80</v>
      </c>
      <c r="K24" s="346" t="str">
        <f t="shared" si="7"/>
        <v>Do</v>
      </c>
      <c r="L24" s="350" t="str">
        <v/>
      </c>
      <c r="M24" s="356" t="str">
        <v>FREI</v>
      </c>
      <c r="N24" s="357">
        <v>0</v>
      </c>
      <c r="O24" s="344">
        <f t="shared" si="2"/>
        <v>44274</v>
      </c>
      <c r="P24" s="345">
        <v>80</v>
      </c>
      <c r="Q24" s="346" t="str">
        <f t="shared" si="8"/>
        <v>Do</v>
      </c>
      <c r="R24" s="350" t="str">
        <v/>
      </c>
      <c r="S24" s="356" t="str">
        <v>FREI</v>
      </c>
      <c r="T24" s="357">
        <v>0</v>
      </c>
      <c r="U24" s="344">
        <f t="shared" si="3"/>
        <v>44305</v>
      </c>
      <c r="V24" s="345">
        <v>80</v>
      </c>
      <c r="W24" s="346" t="str">
        <f t="shared" si="9"/>
        <v>So</v>
      </c>
      <c r="X24" s="350" t="str">
        <v/>
      </c>
      <c r="Y24" s="356">
        <v>0</v>
      </c>
      <c r="Z24" s="357">
        <v>0</v>
      </c>
      <c r="AA24" s="344">
        <f t="shared" si="4"/>
        <v>44335</v>
      </c>
      <c r="AB24" s="345">
        <v>80</v>
      </c>
      <c r="AC24" s="346" t="str">
        <f t="shared" si="10"/>
        <v>Di</v>
      </c>
      <c r="AD24" s="350" t="str">
        <v/>
      </c>
      <c r="AE24" s="356" t="str">
        <v>FREI</v>
      </c>
      <c r="AF24" s="357">
        <v>0</v>
      </c>
      <c r="AG24" s="344">
        <f t="shared" si="5"/>
        <v>44366</v>
      </c>
      <c r="AH24" s="345">
        <v>80</v>
      </c>
      <c r="AI24" s="346" t="str">
        <f t="shared" si="11"/>
        <v>Fr</v>
      </c>
      <c r="AJ24" s="350" t="str">
        <v/>
      </c>
      <c r="AK24" s="356" t="str">
        <v>FREI</v>
      </c>
      <c r="AL24" s="357">
        <v>0</v>
      </c>
      <c r="AN24" s="367" t="s">
        <v>160</v>
      </c>
      <c r="AO24" s="372" t="str">
        <f>Feb!AO$54</f>
        <v/>
      </c>
      <c r="AP24" s="373"/>
      <c r="AQ24" s="374">
        <f>Feb!AM$54</f>
        <v>0</v>
      </c>
      <c r="AR24" s="371">
        <f t="shared" si="12"/>
        <v>0</v>
      </c>
    </row>
    <row r="25" spans="2:48" x14ac:dyDescent="0.2">
      <c r="B25" s="343">
        <v>21</v>
      </c>
      <c r="C25" s="344">
        <f t="shared" si="0"/>
        <v>44216</v>
      </c>
      <c r="D25" s="345">
        <v>80</v>
      </c>
      <c r="E25" s="346" t="str">
        <f t="shared" si="6"/>
        <v>Di</v>
      </c>
      <c r="F25" s="347" t="str">
        <v/>
      </c>
      <c r="G25" s="356" t="str">
        <v>FREI</v>
      </c>
      <c r="H25" s="357">
        <v>0</v>
      </c>
      <c r="I25" s="344">
        <f t="shared" si="1"/>
        <v>44247</v>
      </c>
      <c r="J25" s="345">
        <v>80</v>
      </c>
      <c r="K25" s="346" t="str">
        <f t="shared" si="7"/>
        <v>Fr</v>
      </c>
      <c r="L25" s="350" t="str">
        <v/>
      </c>
      <c r="M25" s="356" t="str">
        <v>FREI</v>
      </c>
      <c r="N25" s="357">
        <v>0</v>
      </c>
      <c r="O25" s="344">
        <f t="shared" si="2"/>
        <v>44275</v>
      </c>
      <c r="P25" s="345">
        <v>80</v>
      </c>
      <c r="Q25" s="346" t="str">
        <f t="shared" si="8"/>
        <v>Fr</v>
      </c>
      <c r="R25" s="350" t="str">
        <v/>
      </c>
      <c r="S25" s="356" t="str">
        <v>FREI</v>
      </c>
      <c r="T25" s="357">
        <v>0</v>
      </c>
      <c r="U25" s="344">
        <f t="shared" si="3"/>
        <v>44306</v>
      </c>
      <c r="V25" s="345">
        <v>80</v>
      </c>
      <c r="W25" s="346" t="str">
        <f t="shared" si="9"/>
        <v>Mo</v>
      </c>
      <c r="X25" s="350" t="str">
        <v/>
      </c>
      <c r="Y25" s="356">
        <v>0</v>
      </c>
      <c r="Z25" s="357">
        <v>0</v>
      </c>
      <c r="AA25" s="344">
        <f t="shared" si="4"/>
        <v>44336</v>
      </c>
      <c r="AB25" s="345">
        <v>80</v>
      </c>
      <c r="AC25" s="346" t="str">
        <f t="shared" si="10"/>
        <v>Mi</v>
      </c>
      <c r="AD25" s="350" t="str">
        <v/>
      </c>
      <c r="AE25" s="356" t="str">
        <v>FREI</v>
      </c>
      <c r="AF25" s="357">
        <v>0</v>
      </c>
      <c r="AG25" s="344">
        <f t="shared" si="5"/>
        <v>44367</v>
      </c>
      <c r="AH25" s="345">
        <v>80</v>
      </c>
      <c r="AI25" s="346" t="str">
        <f t="shared" si="11"/>
        <v>Sa</v>
      </c>
      <c r="AJ25" s="350" t="str">
        <v/>
      </c>
      <c r="AK25" s="356">
        <v>0</v>
      </c>
      <c r="AL25" s="357">
        <v>0</v>
      </c>
      <c r="AN25" s="367" t="s">
        <v>124</v>
      </c>
      <c r="AO25" s="372" t="str">
        <f>Mär!AO$54</f>
        <v/>
      </c>
      <c r="AP25" s="373"/>
      <c r="AQ25" s="374">
        <f>Mär!AM$54</f>
        <v>0</v>
      </c>
      <c r="AR25" s="371">
        <f t="shared" si="12"/>
        <v>0</v>
      </c>
    </row>
    <row r="26" spans="2:48" x14ac:dyDescent="0.2">
      <c r="B26" s="343">
        <v>22</v>
      </c>
      <c r="C26" s="344">
        <f t="shared" si="0"/>
        <v>44217</v>
      </c>
      <c r="D26" s="345">
        <v>80</v>
      </c>
      <c r="E26" s="346" t="str">
        <f t="shared" si="6"/>
        <v>Mi</v>
      </c>
      <c r="F26" s="347" t="str">
        <v/>
      </c>
      <c r="G26" s="356" t="str">
        <v>FREI</v>
      </c>
      <c r="H26" s="357">
        <v>0</v>
      </c>
      <c r="I26" s="344">
        <f t="shared" si="1"/>
        <v>44248</v>
      </c>
      <c r="J26" s="345">
        <v>80</v>
      </c>
      <c r="K26" s="346" t="str">
        <f t="shared" si="7"/>
        <v>Sa</v>
      </c>
      <c r="L26" s="350" t="str">
        <v/>
      </c>
      <c r="M26" s="356">
        <v>0</v>
      </c>
      <c r="N26" s="357">
        <v>0</v>
      </c>
      <c r="O26" s="344">
        <f t="shared" si="2"/>
        <v>44276</v>
      </c>
      <c r="P26" s="345">
        <v>80</v>
      </c>
      <c r="Q26" s="346" t="str">
        <f t="shared" si="8"/>
        <v>Sa</v>
      </c>
      <c r="R26" s="350" t="str">
        <v/>
      </c>
      <c r="S26" s="356">
        <v>0</v>
      </c>
      <c r="T26" s="357">
        <v>0</v>
      </c>
      <c r="U26" s="344">
        <f t="shared" si="3"/>
        <v>44307</v>
      </c>
      <c r="V26" s="345">
        <v>80</v>
      </c>
      <c r="W26" s="346" t="str">
        <f t="shared" si="9"/>
        <v>Di</v>
      </c>
      <c r="X26" s="350" t="str">
        <v/>
      </c>
      <c r="Y26" s="356" t="str">
        <v>FREI</v>
      </c>
      <c r="Z26" s="357">
        <v>0</v>
      </c>
      <c r="AA26" s="344">
        <f t="shared" si="4"/>
        <v>44337</v>
      </c>
      <c r="AB26" s="345">
        <v>80</v>
      </c>
      <c r="AC26" s="346" t="str">
        <f t="shared" si="10"/>
        <v>Do</v>
      </c>
      <c r="AD26" s="350" t="str">
        <v/>
      </c>
      <c r="AE26" s="356" t="str">
        <v>FREI</v>
      </c>
      <c r="AF26" s="357">
        <v>0</v>
      </c>
      <c r="AG26" s="344">
        <f t="shared" si="5"/>
        <v>44368</v>
      </c>
      <c r="AH26" s="345">
        <v>80</v>
      </c>
      <c r="AI26" s="346" t="str">
        <f t="shared" si="11"/>
        <v>So</v>
      </c>
      <c r="AJ26" s="350" t="str">
        <v/>
      </c>
      <c r="AK26" s="356">
        <v>0</v>
      </c>
      <c r="AL26" s="357">
        <v>0</v>
      </c>
      <c r="AN26" s="367" t="s">
        <v>125</v>
      </c>
      <c r="AO26" s="372" t="str">
        <f>Apr!AO$54</f>
        <v/>
      </c>
      <c r="AP26" s="373"/>
      <c r="AQ26" s="374">
        <f>Apr!AM$54</f>
        <v>0</v>
      </c>
      <c r="AR26" s="371">
        <f t="shared" si="12"/>
        <v>0</v>
      </c>
    </row>
    <row r="27" spans="2:48" x14ac:dyDescent="0.2">
      <c r="B27" s="343">
        <v>23</v>
      </c>
      <c r="C27" s="344">
        <f t="shared" si="0"/>
        <v>44218</v>
      </c>
      <c r="D27" s="345">
        <v>80</v>
      </c>
      <c r="E27" s="346" t="str">
        <f t="shared" si="6"/>
        <v>Do</v>
      </c>
      <c r="F27" s="347" t="str">
        <v/>
      </c>
      <c r="G27" s="356" t="str">
        <v>FREI</v>
      </c>
      <c r="H27" s="357">
        <v>0</v>
      </c>
      <c r="I27" s="344">
        <f t="shared" si="1"/>
        <v>44249</v>
      </c>
      <c r="J27" s="345">
        <v>80</v>
      </c>
      <c r="K27" s="346" t="str">
        <f t="shared" si="7"/>
        <v>So</v>
      </c>
      <c r="L27" s="350" t="str">
        <v/>
      </c>
      <c r="M27" s="356">
        <v>0</v>
      </c>
      <c r="N27" s="357">
        <v>0</v>
      </c>
      <c r="O27" s="344">
        <f t="shared" si="2"/>
        <v>44277</v>
      </c>
      <c r="P27" s="345">
        <v>80</v>
      </c>
      <c r="Q27" s="346" t="str">
        <f t="shared" si="8"/>
        <v>So</v>
      </c>
      <c r="R27" s="350" t="str">
        <v/>
      </c>
      <c r="S27" s="356">
        <v>0</v>
      </c>
      <c r="T27" s="357">
        <v>0</v>
      </c>
      <c r="U27" s="344">
        <f t="shared" si="3"/>
        <v>44308</v>
      </c>
      <c r="V27" s="345">
        <v>80</v>
      </c>
      <c r="W27" s="346" t="str">
        <f t="shared" si="9"/>
        <v>Mi</v>
      </c>
      <c r="X27" s="350" t="str">
        <v/>
      </c>
      <c r="Y27" s="356" t="str">
        <v>FREI</v>
      </c>
      <c r="Z27" s="357">
        <v>0</v>
      </c>
      <c r="AA27" s="344">
        <f t="shared" si="4"/>
        <v>44338</v>
      </c>
      <c r="AB27" s="345">
        <v>80</v>
      </c>
      <c r="AC27" s="346" t="str">
        <f t="shared" si="10"/>
        <v>Fr</v>
      </c>
      <c r="AD27" s="350" t="str">
        <v/>
      </c>
      <c r="AE27" s="356" t="str">
        <v>FREI</v>
      </c>
      <c r="AF27" s="357">
        <v>0</v>
      </c>
      <c r="AG27" s="344">
        <f t="shared" si="5"/>
        <v>44369</v>
      </c>
      <c r="AH27" s="345">
        <v>80</v>
      </c>
      <c r="AI27" s="346" t="str">
        <f t="shared" si="11"/>
        <v>Mo</v>
      </c>
      <c r="AJ27" s="350" t="str">
        <v/>
      </c>
      <c r="AK27" s="356" t="str">
        <v>FREI</v>
      </c>
      <c r="AL27" s="357">
        <v>0</v>
      </c>
      <c r="AN27" s="367" t="s">
        <v>126</v>
      </c>
      <c r="AO27" s="372" t="str">
        <f>Mai!AO$54</f>
        <v/>
      </c>
      <c r="AP27" s="373"/>
      <c r="AQ27" s="374">
        <f>Mai!AM$54</f>
        <v>0</v>
      </c>
      <c r="AR27" s="371">
        <f t="shared" si="12"/>
        <v>0</v>
      </c>
    </row>
    <row r="28" spans="2:48" x14ac:dyDescent="0.2">
      <c r="B28" s="343">
        <v>24</v>
      </c>
      <c r="C28" s="344">
        <f t="shared" si="0"/>
        <v>44219</v>
      </c>
      <c r="D28" s="345">
        <v>80</v>
      </c>
      <c r="E28" s="346" t="str">
        <f t="shared" si="6"/>
        <v>Fr</v>
      </c>
      <c r="F28" s="347" t="str">
        <v/>
      </c>
      <c r="G28" s="356" t="str">
        <v>FREI</v>
      </c>
      <c r="H28" s="357">
        <v>0</v>
      </c>
      <c r="I28" s="344">
        <f t="shared" si="1"/>
        <v>44250</v>
      </c>
      <c r="J28" s="345">
        <v>80</v>
      </c>
      <c r="K28" s="346" t="str">
        <f t="shared" si="7"/>
        <v>Mo</v>
      </c>
      <c r="L28" s="350" t="str">
        <v/>
      </c>
      <c r="M28" s="356" t="str">
        <v>FREI</v>
      </c>
      <c r="N28" s="357">
        <v>0</v>
      </c>
      <c r="O28" s="344">
        <f t="shared" si="2"/>
        <v>44278</v>
      </c>
      <c r="P28" s="345">
        <v>80</v>
      </c>
      <c r="Q28" s="346" t="str">
        <f t="shared" si="8"/>
        <v>Mo</v>
      </c>
      <c r="R28" s="350" t="str">
        <v/>
      </c>
      <c r="S28" s="356" t="str">
        <v>FREI</v>
      </c>
      <c r="T28" s="357">
        <v>0</v>
      </c>
      <c r="U28" s="344">
        <f t="shared" si="3"/>
        <v>44309</v>
      </c>
      <c r="V28" s="345">
        <v>80</v>
      </c>
      <c r="W28" s="346" t="str">
        <f t="shared" si="9"/>
        <v>Do</v>
      </c>
      <c r="X28" s="350" t="str">
        <v/>
      </c>
      <c r="Y28" s="356" t="str">
        <v>FREI</v>
      </c>
      <c r="Z28" s="357">
        <v>0</v>
      </c>
      <c r="AA28" s="344">
        <f t="shared" si="4"/>
        <v>44339</v>
      </c>
      <c r="AB28" s="345">
        <v>80</v>
      </c>
      <c r="AC28" s="346" t="str">
        <f t="shared" si="10"/>
        <v>Sa</v>
      </c>
      <c r="AD28" s="350" t="str">
        <v/>
      </c>
      <c r="AE28" s="356">
        <v>0</v>
      </c>
      <c r="AF28" s="357">
        <v>0</v>
      </c>
      <c r="AG28" s="344">
        <f t="shared" si="5"/>
        <v>44370</v>
      </c>
      <c r="AH28" s="345">
        <v>80</v>
      </c>
      <c r="AI28" s="346" t="str">
        <f t="shared" si="11"/>
        <v>Di</v>
      </c>
      <c r="AJ28" s="350" t="str">
        <v/>
      </c>
      <c r="AK28" s="356" t="str">
        <v>FREI</v>
      </c>
      <c r="AL28" s="357">
        <v>0</v>
      </c>
      <c r="AN28" s="367" t="s">
        <v>127</v>
      </c>
      <c r="AO28" s="372" t="str">
        <f>Jun!AO$54</f>
        <v/>
      </c>
      <c r="AP28" s="373"/>
      <c r="AQ28" s="374">
        <f>Jun!AM$54</f>
        <v>0</v>
      </c>
      <c r="AR28" s="371">
        <f t="shared" si="12"/>
        <v>0</v>
      </c>
    </row>
    <row r="29" spans="2:48" x14ac:dyDescent="0.2">
      <c r="B29" s="343">
        <v>25</v>
      </c>
      <c r="C29" s="344">
        <f t="shared" si="0"/>
        <v>44220</v>
      </c>
      <c r="D29" s="345">
        <v>80</v>
      </c>
      <c r="E29" s="346" t="str">
        <f t="shared" si="6"/>
        <v>Sa</v>
      </c>
      <c r="F29" s="347" t="str">
        <v/>
      </c>
      <c r="G29" s="356">
        <v>0</v>
      </c>
      <c r="H29" s="357">
        <v>0</v>
      </c>
      <c r="I29" s="344">
        <f t="shared" si="1"/>
        <v>44251</v>
      </c>
      <c r="J29" s="345">
        <v>80</v>
      </c>
      <c r="K29" s="346" t="str">
        <f t="shared" si="7"/>
        <v>Di</v>
      </c>
      <c r="L29" s="350" t="str">
        <v/>
      </c>
      <c r="M29" s="356" t="str">
        <v>FREI</v>
      </c>
      <c r="N29" s="357">
        <v>0</v>
      </c>
      <c r="O29" s="344">
        <f t="shared" si="2"/>
        <v>44279</v>
      </c>
      <c r="P29" s="345">
        <v>80</v>
      </c>
      <c r="Q29" s="346" t="str">
        <f t="shared" si="8"/>
        <v>Di</v>
      </c>
      <c r="R29" s="350" t="str">
        <v/>
      </c>
      <c r="S29" s="356" t="str">
        <v>FREI</v>
      </c>
      <c r="T29" s="357">
        <v>0</v>
      </c>
      <c r="U29" s="344">
        <f t="shared" si="3"/>
        <v>44310</v>
      </c>
      <c r="V29" s="345">
        <v>80</v>
      </c>
      <c r="W29" s="346" t="str">
        <f t="shared" si="9"/>
        <v>Fr</v>
      </c>
      <c r="X29" s="350" t="str">
        <v/>
      </c>
      <c r="Y29" s="356" t="str">
        <v>FREI</v>
      </c>
      <c r="Z29" s="357">
        <v>0</v>
      </c>
      <c r="AA29" s="344">
        <f t="shared" si="4"/>
        <v>44340</v>
      </c>
      <c r="AB29" s="345">
        <v>80</v>
      </c>
      <c r="AC29" s="346" t="str">
        <f t="shared" si="10"/>
        <v>So</v>
      </c>
      <c r="AD29" s="350" t="str">
        <v/>
      </c>
      <c r="AE29" s="356">
        <v>0</v>
      </c>
      <c r="AF29" s="357">
        <v>0</v>
      </c>
      <c r="AG29" s="344">
        <f t="shared" si="5"/>
        <v>44371</v>
      </c>
      <c r="AH29" s="345">
        <v>80</v>
      </c>
      <c r="AI29" s="346" t="str">
        <f t="shared" si="11"/>
        <v>Mi</v>
      </c>
      <c r="AJ29" s="350" t="str">
        <v/>
      </c>
      <c r="AK29" s="356" t="str">
        <v>FREI</v>
      </c>
      <c r="AL29" s="357">
        <v>0</v>
      </c>
      <c r="AN29" s="367" t="s">
        <v>128</v>
      </c>
      <c r="AO29" s="372" t="str">
        <f>Jul!AO$54</f>
        <v/>
      </c>
      <c r="AP29" s="373"/>
      <c r="AQ29" s="374">
        <f>Jul!AM$54</f>
        <v>0</v>
      </c>
      <c r="AR29" s="371">
        <f t="shared" si="12"/>
        <v>0</v>
      </c>
    </row>
    <row r="30" spans="2:48" x14ac:dyDescent="0.2">
      <c r="B30" s="343">
        <v>26</v>
      </c>
      <c r="C30" s="344">
        <f t="shared" si="0"/>
        <v>44221</v>
      </c>
      <c r="D30" s="345">
        <v>80</v>
      </c>
      <c r="E30" s="346" t="str">
        <f t="shared" si="6"/>
        <v>So</v>
      </c>
      <c r="F30" s="347" t="str">
        <v/>
      </c>
      <c r="G30" s="356">
        <v>0</v>
      </c>
      <c r="H30" s="357">
        <v>0</v>
      </c>
      <c r="I30" s="344">
        <f t="shared" si="1"/>
        <v>44252</v>
      </c>
      <c r="J30" s="345">
        <v>80</v>
      </c>
      <c r="K30" s="346" t="str">
        <f t="shared" si="7"/>
        <v>Mi</v>
      </c>
      <c r="L30" s="350" t="str">
        <v/>
      </c>
      <c r="M30" s="356" t="str">
        <v>FREI</v>
      </c>
      <c r="N30" s="357">
        <v>0</v>
      </c>
      <c r="O30" s="344">
        <f t="shared" si="2"/>
        <v>44280</v>
      </c>
      <c r="P30" s="345">
        <v>80</v>
      </c>
      <c r="Q30" s="346" t="str">
        <f t="shared" si="8"/>
        <v>Mi</v>
      </c>
      <c r="R30" s="350" t="str">
        <v/>
      </c>
      <c r="S30" s="356" t="str">
        <v>FREI</v>
      </c>
      <c r="T30" s="357">
        <v>0</v>
      </c>
      <c r="U30" s="344">
        <f t="shared" si="3"/>
        <v>44311</v>
      </c>
      <c r="V30" s="345">
        <v>80</v>
      </c>
      <c r="W30" s="346" t="str">
        <f t="shared" si="9"/>
        <v>Sa</v>
      </c>
      <c r="X30" s="350" t="str">
        <v/>
      </c>
      <c r="Y30" s="356">
        <v>0</v>
      </c>
      <c r="Z30" s="357">
        <v>0</v>
      </c>
      <c r="AA30" s="344">
        <f t="shared" si="4"/>
        <v>44341</v>
      </c>
      <c r="AB30" s="345">
        <v>80</v>
      </c>
      <c r="AC30" s="346" t="str">
        <f t="shared" si="10"/>
        <v>Mo</v>
      </c>
      <c r="AD30" s="350">
        <v>0</v>
      </c>
      <c r="AE30" s="356" t="str">
        <v>FREI</v>
      </c>
      <c r="AF30" s="357">
        <v>0</v>
      </c>
      <c r="AG30" s="344">
        <f t="shared" si="5"/>
        <v>44372</v>
      </c>
      <c r="AH30" s="345">
        <v>80</v>
      </c>
      <c r="AI30" s="346" t="str">
        <f t="shared" si="11"/>
        <v>Do</v>
      </c>
      <c r="AJ30" s="350" t="str">
        <v/>
      </c>
      <c r="AK30" s="356" t="str">
        <v>FREI</v>
      </c>
      <c r="AL30" s="357">
        <v>0</v>
      </c>
      <c r="AN30" s="367" t="s">
        <v>161</v>
      </c>
      <c r="AO30" s="372" t="str">
        <f>Aug!AO$54</f>
        <v/>
      </c>
      <c r="AP30" s="373"/>
      <c r="AQ30" s="374">
        <f>Aug!AM$54</f>
        <v>0</v>
      </c>
      <c r="AR30" s="371">
        <f t="shared" si="12"/>
        <v>0</v>
      </c>
    </row>
    <row r="31" spans="2:48" x14ac:dyDescent="0.2">
      <c r="B31" s="343">
        <v>27</v>
      </c>
      <c r="C31" s="344">
        <f t="shared" si="0"/>
        <v>44222</v>
      </c>
      <c r="D31" s="345">
        <v>80</v>
      </c>
      <c r="E31" s="346" t="str">
        <f t="shared" si="6"/>
        <v>Mo</v>
      </c>
      <c r="F31" s="347" t="str">
        <v/>
      </c>
      <c r="G31" s="356" t="str">
        <v>FREI</v>
      </c>
      <c r="H31" s="357">
        <v>0</v>
      </c>
      <c r="I31" s="344">
        <f t="shared" si="1"/>
        <v>44253</v>
      </c>
      <c r="J31" s="345">
        <v>80</v>
      </c>
      <c r="K31" s="346" t="str">
        <f t="shared" si="7"/>
        <v>Do</v>
      </c>
      <c r="L31" s="350" t="str">
        <v/>
      </c>
      <c r="M31" s="356" t="str">
        <v>FREI</v>
      </c>
      <c r="N31" s="357">
        <v>0</v>
      </c>
      <c r="O31" s="344">
        <f t="shared" si="2"/>
        <v>44281</v>
      </c>
      <c r="P31" s="345">
        <v>80</v>
      </c>
      <c r="Q31" s="346" t="str">
        <f t="shared" si="8"/>
        <v>Do</v>
      </c>
      <c r="R31" s="350" t="str">
        <v/>
      </c>
      <c r="S31" s="356" t="str">
        <v>FREI</v>
      </c>
      <c r="T31" s="357">
        <v>0</v>
      </c>
      <c r="U31" s="344">
        <f t="shared" si="3"/>
        <v>44312</v>
      </c>
      <c r="V31" s="345">
        <v>80</v>
      </c>
      <c r="W31" s="346" t="str">
        <f t="shared" si="9"/>
        <v>So</v>
      </c>
      <c r="X31" s="350" t="str">
        <v/>
      </c>
      <c r="Y31" s="356">
        <v>0</v>
      </c>
      <c r="Z31" s="357">
        <v>0</v>
      </c>
      <c r="AA31" s="344">
        <f t="shared" si="4"/>
        <v>44342</v>
      </c>
      <c r="AB31" s="345">
        <v>80</v>
      </c>
      <c r="AC31" s="346" t="str">
        <f t="shared" si="10"/>
        <v>Di</v>
      </c>
      <c r="AD31" s="350">
        <v>0</v>
      </c>
      <c r="AE31" s="356" t="str">
        <v>FREI</v>
      </c>
      <c r="AF31" s="357">
        <v>0</v>
      </c>
      <c r="AG31" s="344">
        <f t="shared" si="5"/>
        <v>44373</v>
      </c>
      <c r="AH31" s="345">
        <v>80</v>
      </c>
      <c r="AI31" s="346" t="str">
        <f t="shared" si="11"/>
        <v>Fr</v>
      </c>
      <c r="AJ31" s="350" t="str">
        <v/>
      </c>
      <c r="AK31" s="356" t="str">
        <v>FREI</v>
      </c>
      <c r="AL31" s="357">
        <v>0</v>
      </c>
      <c r="AN31" s="367" t="s">
        <v>162</v>
      </c>
      <c r="AO31" s="372" t="str">
        <f>Sep!AO$54</f>
        <v/>
      </c>
      <c r="AP31" s="373"/>
      <c r="AQ31" s="374">
        <f>Sep!AM$54</f>
        <v>0</v>
      </c>
      <c r="AR31" s="371">
        <f t="shared" si="12"/>
        <v>0</v>
      </c>
    </row>
    <row r="32" spans="2:48" x14ac:dyDescent="0.2">
      <c r="B32" s="343">
        <v>28</v>
      </c>
      <c r="C32" s="344">
        <f t="shared" si="0"/>
        <v>44223</v>
      </c>
      <c r="D32" s="345">
        <v>80</v>
      </c>
      <c r="E32" s="346" t="str">
        <f t="shared" si="6"/>
        <v>Di</v>
      </c>
      <c r="F32" s="347" t="str">
        <v/>
      </c>
      <c r="G32" s="356" t="str">
        <v>FREI</v>
      </c>
      <c r="H32" s="357">
        <v>0</v>
      </c>
      <c r="I32" s="344">
        <f t="shared" si="1"/>
        <v>44254</v>
      </c>
      <c r="J32" s="345">
        <v>80</v>
      </c>
      <c r="K32" s="346" t="str">
        <f t="shared" si="7"/>
        <v>Fr</v>
      </c>
      <c r="L32" s="350" t="str">
        <v/>
      </c>
      <c r="M32" s="356" t="str">
        <v>FREI</v>
      </c>
      <c r="N32" s="357">
        <v>0</v>
      </c>
      <c r="O32" s="344">
        <f t="shared" si="2"/>
        <v>44282</v>
      </c>
      <c r="P32" s="345">
        <v>80</v>
      </c>
      <c r="Q32" s="346" t="str">
        <f t="shared" si="8"/>
        <v>Fr</v>
      </c>
      <c r="R32" s="350" t="str">
        <v/>
      </c>
      <c r="S32" s="356" t="str">
        <v>FREI</v>
      </c>
      <c r="T32" s="357">
        <v>0</v>
      </c>
      <c r="U32" s="344">
        <f t="shared" si="3"/>
        <v>44313</v>
      </c>
      <c r="V32" s="345">
        <v>80</v>
      </c>
      <c r="W32" s="346" t="str">
        <f t="shared" si="9"/>
        <v>Mo</v>
      </c>
      <c r="X32" s="350" t="str">
        <v/>
      </c>
      <c r="Y32" s="356" t="str">
        <v>FREI</v>
      </c>
      <c r="Z32" s="357">
        <v>0</v>
      </c>
      <c r="AA32" s="344">
        <f t="shared" si="4"/>
        <v>44343</v>
      </c>
      <c r="AB32" s="345">
        <v>80</v>
      </c>
      <c r="AC32" s="346" t="str">
        <f t="shared" si="10"/>
        <v>Mi</v>
      </c>
      <c r="AD32" s="350">
        <v>0</v>
      </c>
      <c r="AE32" s="356" t="str">
        <v>FREI</v>
      </c>
      <c r="AF32" s="357">
        <v>0</v>
      </c>
      <c r="AG32" s="344">
        <f t="shared" si="5"/>
        <v>44374</v>
      </c>
      <c r="AH32" s="345">
        <v>80</v>
      </c>
      <c r="AI32" s="346" t="str">
        <f t="shared" si="11"/>
        <v>Sa</v>
      </c>
      <c r="AJ32" s="350" t="str">
        <v/>
      </c>
      <c r="AK32" s="356">
        <v>0</v>
      </c>
      <c r="AL32" s="357">
        <v>0</v>
      </c>
      <c r="AN32" s="367" t="s">
        <v>163</v>
      </c>
      <c r="AO32" s="372" t="str">
        <f>Okt!AO$54</f>
        <v/>
      </c>
      <c r="AP32" s="373"/>
      <c r="AQ32" s="374">
        <f>Okt!AM$54</f>
        <v>0</v>
      </c>
      <c r="AR32" s="371">
        <f t="shared" si="12"/>
        <v>0</v>
      </c>
    </row>
    <row r="33" spans="2:44" x14ac:dyDescent="0.2">
      <c r="B33" s="343">
        <v>29</v>
      </c>
      <c r="C33" s="344">
        <f t="shared" si="0"/>
        <v>44224</v>
      </c>
      <c r="D33" s="345">
        <v>80</v>
      </c>
      <c r="E33" s="346" t="str">
        <f t="shared" si="6"/>
        <v>Mi</v>
      </c>
      <c r="F33" s="347" t="str">
        <v/>
      </c>
      <c r="G33" s="356" t="str">
        <v>FREI</v>
      </c>
      <c r="H33" s="357">
        <v>0</v>
      </c>
      <c r="I33" s="344">
        <f t="shared" si="1"/>
        <v>44255</v>
      </c>
      <c r="J33" s="345">
        <v>0</v>
      </c>
      <c r="K33" s="346" t="str">
        <f t="shared" si="7"/>
        <v>Sa</v>
      </c>
      <c r="L33" s="350" t="str">
        <v/>
      </c>
      <c r="M33" s="356">
        <v>0</v>
      </c>
      <c r="N33" s="357">
        <v>0</v>
      </c>
      <c r="O33" s="344">
        <f t="shared" si="2"/>
        <v>44283</v>
      </c>
      <c r="P33" s="345">
        <v>80</v>
      </c>
      <c r="Q33" s="346" t="str">
        <f t="shared" si="8"/>
        <v>Sa</v>
      </c>
      <c r="R33" s="350" t="str">
        <v/>
      </c>
      <c r="S33" s="356">
        <v>0</v>
      </c>
      <c r="T33" s="357">
        <v>0</v>
      </c>
      <c r="U33" s="344">
        <f t="shared" si="3"/>
        <v>44314</v>
      </c>
      <c r="V33" s="345">
        <v>80</v>
      </c>
      <c r="W33" s="346" t="str">
        <f t="shared" si="9"/>
        <v>Di</v>
      </c>
      <c r="X33" s="350" t="str">
        <v/>
      </c>
      <c r="Y33" s="356" t="str">
        <v>FREI</v>
      </c>
      <c r="Z33" s="357">
        <v>0</v>
      </c>
      <c r="AA33" s="344">
        <f t="shared" si="4"/>
        <v>44344</v>
      </c>
      <c r="AB33" s="345">
        <v>80</v>
      </c>
      <c r="AC33" s="346" t="str">
        <f t="shared" si="10"/>
        <v>Do</v>
      </c>
      <c r="AD33" s="350">
        <v>0</v>
      </c>
      <c r="AE33" s="356">
        <v>0</v>
      </c>
      <c r="AF33" s="357">
        <v>0</v>
      </c>
      <c r="AG33" s="344">
        <f t="shared" si="5"/>
        <v>44375</v>
      </c>
      <c r="AH33" s="345">
        <v>80</v>
      </c>
      <c r="AI33" s="346" t="str">
        <f t="shared" si="11"/>
        <v>So</v>
      </c>
      <c r="AJ33" s="350" t="str">
        <v/>
      </c>
      <c r="AK33" s="356">
        <v>0</v>
      </c>
      <c r="AL33" s="357">
        <v>0</v>
      </c>
      <c r="AN33" s="367" t="s">
        <v>164</v>
      </c>
      <c r="AO33" s="372" t="str">
        <f>Nov!AO$54</f>
        <v/>
      </c>
      <c r="AP33" s="373"/>
      <c r="AQ33" s="374">
        <f>Nov!AM$54</f>
        <v>0</v>
      </c>
      <c r="AR33" s="371">
        <f t="shared" si="12"/>
        <v>0</v>
      </c>
    </row>
    <row r="34" spans="2:44" x14ac:dyDescent="0.2">
      <c r="B34" s="343">
        <v>30</v>
      </c>
      <c r="C34" s="375">
        <f t="shared" si="0"/>
        <v>44225</v>
      </c>
      <c r="D34" s="345">
        <v>80</v>
      </c>
      <c r="E34" s="346" t="str">
        <f t="shared" si="6"/>
        <v>Do</v>
      </c>
      <c r="F34" s="347" t="str">
        <v/>
      </c>
      <c r="G34" s="356" t="str">
        <v>FREI</v>
      </c>
      <c r="H34" s="357">
        <v>0</v>
      </c>
      <c r="I34" s="376"/>
      <c r="J34" s="376">
        <v>0</v>
      </c>
      <c r="K34" s="376"/>
      <c r="L34" s="377" t="str">
        <v/>
      </c>
      <c r="M34" s="378"/>
      <c r="N34" s="379"/>
      <c r="O34" s="344">
        <f t="shared" si="2"/>
        <v>44284</v>
      </c>
      <c r="P34" s="345">
        <v>80</v>
      </c>
      <c r="Q34" s="346" t="str">
        <f t="shared" si="8"/>
        <v>So</v>
      </c>
      <c r="R34" s="350" t="str">
        <v/>
      </c>
      <c r="S34" s="356">
        <v>0</v>
      </c>
      <c r="T34" s="357">
        <v>0</v>
      </c>
      <c r="U34" s="344">
        <f t="shared" si="3"/>
        <v>44315</v>
      </c>
      <c r="V34" s="345">
        <v>80</v>
      </c>
      <c r="W34" s="346" t="str">
        <f t="shared" si="9"/>
        <v>Mi</v>
      </c>
      <c r="X34" s="350" t="str">
        <v/>
      </c>
      <c r="Y34" s="356" t="str">
        <v>FREI</v>
      </c>
      <c r="Z34" s="357">
        <v>0</v>
      </c>
      <c r="AA34" s="344">
        <f t="shared" si="4"/>
        <v>44345</v>
      </c>
      <c r="AB34" s="345">
        <v>80</v>
      </c>
      <c r="AC34" s="346" t="str">
        <f t="shared" si="10"/>
        <v>Fr</v>
      </c>
      <c r="AD34" s="350">
        <v>0</v>
      </c>
      <c r="AE34" s="356" t="str">
        <v>FREI</v>
      </c>
      <c r="AF34" s="357">
        <v>0</v>
      </c>
      <c r="AG34" s="344">
        <f t="shared" si="5"/>
        <v>44376</v>
      </c>
      <c r="AH34" s="345">
        <v>80</v>
      </c>
      <c r="AI34" s="346" t="str">
        <f t="shared" si="11"/>
        <v>Mo</v>
      </c>
      <c r="AJ34" s="350" t="str">
        <v/>
      </c>
      <c r="AK34" s="356" t="str">
        <v>FREI</v>
      </c>
      <c r="AL34" s="357">
        <v>0</v>
      </c>
      <c r="AN34" s="367" t="s">
        <v>165</v>
      </c>
      <c r="AO34" s="372" t="str">
        <f>Dez!AO$54</f>
        <v/>
      </c>
      <c r="AP34" s="373"/>
      <c r="AQ34" s="374">
        <f>Dez!AM$54</f>
        <v>0</v>
      </c>
      <c r="AR34" s="371">
        <f t="shared" si="12"/>
        <v>0</v>
      </c>
    </row>
    <row r="35" spans="2:44" x14ac:dyDescent="0.2">
      <c r="B35" s="343">
        <v>31</v>
      </c>
      <c r="C35" s="375">
        <f t="shared" si="0"/>
        <v>44226</v>
      </c>
      <c r="D35" s="380">
        <v>80</v>
      </c>
      <c r="E35" s="360" t="str">
        <f t="shared" si="6"/>
        <v>Fr</v>
      </c>
      <c r="F35" s="381" t="str">
        <v/>
      </c>
      <c r="G35" s="356" t="str">
        <v>FREI</v>
      </c>
      <c r="H35" s="357">
        <v>0</v>
      </c>
      <c r="I35" s="376"/>
      <c r="J35" s="376">
        <v>0</v>
      </c>
      <c r="K35" s="376"/>
      <c r="L35" s="377" t="str">
        <v/>
      </c>
      <c r="M35" s="378"/>
      <c r="N35" s="379"/>
      <c r="O35" s="375">
        <f t="shared" si="2"/>
        <v>44285</v>
      </c>
      <c r="P35" s="380">
        <v>80</v>
      </c>
      <c r="Q35" s="360" t="str">
        <f t="shared" si="8"/>
        <v>Mo</v>
      </c>
      <c r="R35" s="382" t="str">
        <v/>
      </c>
      <c r="S35" s="356" t="str">
        <v>FREI</v>
      </c>
      <c r="T35" s="357">
        <v>0</v>
      </c>
      <c r="U35" s="383"/>
      <c r="V35" s="384">
        <v>0</v>
      </c>
      <c r="W35" s="385"/>
      <c r="X35" s="377" t="str">
        <v/>
      </c>
      <c r="Y35" s="378"/>
      <c r="Z35" s="379"/>
      <c r="AA35" s="386">
        <f t="shared" si="4"/>
        <v>44346</v>
      </c>
      <c r="AB35" s="380">
        <v>80</v>
      </c>
      <c r="AC35" s="360" t="str">
        <f t="shared" si="10"/>
        <v>Sa</v>
      </c>
      <c r="AD35" s="382">
        <v>0</v>
      </c>
      <c r="AE35" s="356">
        <v>0</v>
      </c>
      <c r="AF35" s="357">
        <v>0</v>
      </c>
      <c r="AG35" s="383"/>
      <c r="AH35" s="384">
        <v>0</v>
      </c>
      <c r="AI35" s="385"/>
      <c r="AJ35" s="377" t="str">
        <v/>
      </c>
      <c r="AK35" s="378"/>
      <c r="AL35" s="379"/>
      <c r="AP35" s="11" t="s">
        <v>201</v>
      </c>
      <c r="AQ35" s="33">
        <f>SUM(AQ23:AQ34)</f>
        <v>0</v>
      </c>
      <c r="AR35" s="33">
        <f>SUM(AR23:AR34)</f>
        <v>0</v>
      </c>
    </row>
    <row r="37" spans="2:44" x14ac:dyDescent="0.2">
      <c r="B37" s="341"/>
      <c r="C37" s="594" t="s">
        <v>128</v>
      </c>
      <c r="D37" s="595"/>
      <c r="E37" s="595"/>
      <c r="F37" s="595"/>
      <c r="G37" s="595"/>
      <c r="H37" s="596"/>
      <c r="I37" s="594" t="s">
        <v>161</v>
      </c>
      <c r="J37" s="595"/>
      <c r="K37" s="595"/>
      <c r="L37" s="595"/>
      <c r="M37" s="595"/>
      <c r="N37" s="596"/>
      <c r="O37" s="594" t="s">
        <v>162</v>
      </c>
      <c r="P37" s="595"/>
      <c r="Q37" s="595"/>
      <c r="R37" s="595"/>
      <c r="S37" s="595"/>
      <c r="T37" s="596"/>
      <c r="U37" s="594" t="s">
        <v>163</v>
      </c>
      <c r="V37" s="595"/>
      <c r="W37" s="595"/>
      <c r="X37" s="595"/>
      <c r="Y37" s="595"/>
      <c r="Z37" s="596"/>
      <c r="AA37" s="594" t="s">
        <v>164</v>
      </c>
      <c r="AB37" s="595"/>
      <c r="AC37" s="595"/>
      <c r="AD37" s="595"/>
      <c r="AE37" s="595"/>
      <c r="AF37" s="596"/>
      <c r="AG37" s="594" t="s">
        <v>165</v>
      </c>
      <c r="AH37" s="595"/>
      <c r="AI37" s="595"/>
      <c r="AJ37" s="595"/>
      <c r="AK37" s="595"/>
      <c r="AL37" s="596"/>
    </row>
    <row r="38" spans="2:44" x14ac:dyDescent="0.2">
      <c r="B38" s="343">
        <v>1</v>
      </c>
      <c r="C38" s="344">
        <f t="shared" ref="C38:C68" si="13">DATE(Jahr,7,B5)</f>
        <v>44377</v>
      </c>
      <c r="D38" s="345" cm="1">
        <f t="array" ref="D38:D68">TRANSPOSE(Jul!H9:AL9)</f>
        <v>80</v>
      </c>
      <c r="E38" s="346" t="str">
        <f>TEXT(C38,"TTT")</f>
        <v>Di</v>
      </c>
      <c r="F38" s="387" t="str" cm="1">
        <f t="array" ref="F38:F68">TRANSPOSE(Jul!H72:AL72)</f>
        <v/>
      </c>
      <c r="G38" s="348" t="str" cm="1">
        <f t="array" ref="G38:G68">TRANSPOSE(Jul!H70:AL70)</f>
        <v>FREI</v>
      </c>
      <c r="H38" s="349" cm="1">
        <f t="array" ref="H38:H68">TRANSPOSE(Jul!H71:AL71)</f>
        <v>0</v>
      </c>
      <c r="I38" s="344">
        <f t="shared" ref="I38:I68" si="14">DATE(Jahr,8,B5)</f>
        <v>44408</v>
      </c>
      <c r="J38" s="345" cm="1">
        <f t="array" ref="J38:J68">TRANSPOSE(Aug!H9:AL9)</f>
        <v>80</v>
      </c>
      <c r="K38" s="346" t="str">
        <f>TEXT(I38,"TTT")</f>
        <v>Fr</v>
      </c>
      <c r="L38" s="350" t="str" cm="1">
        <f t="array" ref="L38:L68">TRANSPOSE(Aug!H72:AL72)</f>
        <v/>
      </c>
      <c r="M38" s="348" cm="1">
        <f t="array" ref="M38:M68">TRANSPOSE(Aug!H70:AL70)</f>
        <v>0</v>
      </c>
      <c r="N38" s="349" cm="1">
        <f t="array" ref="N38:N68">TRANSPOSE(Aug!H71:AL71)</f>
        <v>0</v>
      </c>
      <c r="O38" s="344">
        <f t="shared" ref="O38:O67" si="15">DATE(Jahr,9,B5)</f>
        <v>44439</v>
      </c>
      <c r="P38" s="345" cm="1">
        <f t="array" ref="P38:P68">TRANSPOSE(Sep!H9:AL9)</f>
        <v>80</v>
      </c>
      <c r="Q38" s="346" t="str">
        <f>TEXT(O38,"TTT")</f>
        <v>Mo</v>
      </c>
      <c r="R38" s="350" t="str" cm="1">
        <f t="array" ref="R38:R68">TRANSPOSE(Sep!H72:AL72)</f>
        <v/>
      </c>
      <c r="S38" s="348" t="str" cm="1">
        <f t="array" ref="S38:S67">TRANSPOSE(Sep!H70:AK70)</f>
        <v>FREI</v>
      </c>
      <c r="T38" s="349" cm="1">
        <f t="array" ref="T38:T67">TRANSPOSE(Sep!H71:AK71)</f>
        <v>0</v>
      </c>
      <c r="U38" s="344">
        <f t="shared" ref="U38:U68" si="16">DATE(Jahr,10,B5)</f>
        <v>44469</v>
      </c>
      <c r="V38" s="345" cm="1">
        <f t="array" ref="V38:V68">TRANSPOSE(Okt!H9:AL9)</f>
        <v>80</v>
      </c>
      <c r="W38" s="346" t="str">
        <f>TEXT(U38,"TTT")</f>
        <v>Mi</v>
      </c>
      <c r="X38" s="350" t="str" cm="1">
        <f t="array" ref="X38:X68">TRANSPOSE(Okt!H72:AL72)</f>
        <v/>
      </c>
      <c r="Y38" s="348" t="str" cm="1">
        <f t="array" ref="Y38:Y68">TRANSPOSE(Okt!H70:AL70)</f>
        <v>FREI</v>
      </c>
      <c r="Z38" s="349" cm="1">
        <f t="array" ref="Z38:Z68">TRANSPOSE(Okt!H71:AL71)</f>
        <v>0</v>
      </c>
      <c r="AA38" s="344">
        <f t="shared" ref="AA38:AA67" si="17">DATE(Jahr,11,B5)</f>
        <v>44500</v>
      </c>
      <c r="AB38" s="345" cm="1">
        <f t="array" ref="AB38:AB68">TRANSPOSE(Nov!H9:AL9)</f>
        <v>80</v>
      </c>
      <c r="AC38" s="346" t="str">
        <f>TEXT(AA38,"TTT")</f>
        <v>Sa</v>
      </c>
      <c r="AD38" s="350" t="str" cm="1">
        <f t="array" ref="AD38:AD68">TRANSPOSE(Nov!H72:AL72)</f>
        <v/>
      </c>
      <c r="AE38" s="348" cm="1">
        <f t="array" ref="AE38:AE67">TRANSPOSE(Nov!H70:AK70)</f>
        <v>0</v>
      </c>
      <c r="AF38" s="349" cm="1">
        <f t="array" ref="AF38:AF67">TRANSPOSE(Nov!H71:AK71)</f>
        <v>0</v>
      </c>
      <c r="AG38" s="344">
        <f t="shared" ref="AG38:AG68" si="18">DATE(Jahr,12,B5)</f>
        <v>44530</v>
      </c>
      <c r="AH38" s="345" cm="1">
        <f t="array" ref="AH38:AH68">TRANSPOSE(Dez!H9:AL9)</f>
        <v>80</v>
      </c>
      <c r="AI38" s="346" t="str">
        <f>TEXT(AG38,"TTT")</f>
        <v>Mo</v>
      </c>
      <c r="AJ38" s="350" t="str" cm="1">
        <f t="array" ref="AJ38:AJ68">TRANSPOSE(Dez!H72:AL72)</f>
        <v/>
      </c>
      <c r="AK38" s="348" t="str" cm="1">
        <f t="array" ref="AK38:AK68">TRANSPOSE(Dez!H70:AL70)</f>
        <v>FREI</v>
      </c>
      <c r="AL38" s="349" cm="1">
        <f t="array" ref="AL38:AL68">TRANSPOSE(Dez!H71:AL71)</f>
        <v>0</v>
      </c>
      <c r="AM38" s="103"/>
    </row>
    <row r="39" spans="2:44" x14ac:dyDescent="0.2">
      <c r="B39" s="343">
        <v>2</v>
      </c>
      <c r="C39" s="344">
        <f t="shared" si="13"/>
        <v>44378</v>
      </c>
      <c r="D39" s="345">
        <v>80</v>
      </c>
      <c r="E39" s="346" t="str">
        <f t="shared" ref="E39:E68" si="19">TEXT(C39,"TTT")</f>
        <v>Mi</v>
      </c>
      <c r="F39" s="387" t="str">
        <v/>
      </c>
      <c r="G39" s="348" t="str">
        <v>FREI</v>
      </c>
      <c r="H39" s="349">
        <v>0</v>
      </c>
      <c r="I39" s="344">
        <f t="shared" si="14"/>
        <v>44409</v>
      </c>
      <c r="J39" s="345">
        <v>80</v>
      </c>
      <c r="K39" s="346" t="str">
        <f t="shared" ref="K39:K68" si="20">TEXT(I39,"TTT")</f>
        <v>Sa</v>
      </c>
      <c r="L39" s="350" t="str">
        <v/>
      </c>
      <c r="M39" s="348">
        <v>0</v>
      </c>
      <c r="N39" s="349">
        <v>0</v>
      </c>
      <c r="O39" s="344">
        <f t="shared" si="15"/>
        <v>44440</v>
      </c>
      <c r="P39" s="345">
        <v>80</v>
      </c>
      <c r="Q39" s="346" t="str">
        <f t="shared" ref="Q39:Q67" si="21">TEXT(O39,"TTT")</f>
        <v>Di</v>
      </c>
      <c r="R39" s="350" t="str">
        <v/>
      </c>
      <c r="S39" s="348" t="str">
        <v>FREI</v>
      </c>
      <c r="T39" s="349">
        <v>0</v>
      </c>
      <c r="U39" s="344">
        <f t="shared" si="16"/>
        <v>44470</v>
      </c>
      <c r="V39" s="345">
        <v>80</v>
      </c>
      <c r="W39" s="346" t="str">
        <f t="shared" ref="W39:W68" si="22">TEXT(U39,"TTT")</f>
        <v>Do</v>
      </c>
      <c r="X39" s="350" t="str">
        <v/>
      </c>
      <c r="Y39" s="348" t="str">
        <v>FREI</v>
      </c>
      <c r="Z39" s="349">
        <v>0</v>
      </c>
      <c r="AA39" s="344">
        <f t="shared" si="17"/>
        <v>44501</v>
      </c>
      <c r="AB39" s="345">
        <v>80</v>
      </c>
      <c r="AC39" s="346" t="str">
        <f t="shared" ref="AC39:AC67" si="23">TEXT(AA39,"TTT")</f>
        <v>So</v>
      </c>
      <c r="AD39" s="350" t="str">
        <v/>
      </c>
      <c r="AE39" s="348">
        <v>0</v>
      </c>
      <c r="AF39" s="349">
        <v>0</v>
      </c>
      <c r="AG39" s="344">
        <f t="shared" si="18"/>
        <v>44531</v>
      </c>
      <c r="AH39" s="345">
        <v>80</v>
      </c>
      <c r="AI39" s="346" t="str">
        <f t="shared" ref="AI39:AI68" si="24">TEXT(AG39,"TTT")</f>
        <v>Di</v>
      </c>
      <c r="AJ39" s="350" t="str">
        <v/>
      </c>
      <c r="AK39" s="348" t="str">
        <v>FREI</v>
      </c>
      <c r="AL39" s="349">
        <v>0</v>
      </c>
      <c r="AM39" s="103"/>
    </row>
    <row r="40" spans="2:44" x14ac:dyDescent="0.2">
      <c r="B40" s="343">
        <v>3</v>
      </c>
      <c r="C40" s="344">
        <f t="shared" si="13"/>
        <v>44379</v>
      </c>
      <c r="D40" s="345">
        <v>80</v>
      </c>
      <c r="E40" s="346" t="str">
        <f t="shared" si="19"/>
        <v>Do</v>
      </c>
      <c r="F40" s="387" t="str">
        <v/>
      </c>
      <c r="G40" s="348" t="str">
        <v>FREI</v>
      </c>
      <c r="H40" s="349">
        <v>0</v>
      </c>
      <c r="I40" s="344">
        <f t="shared" si="14"/>
        <v>44410</v>
      </c>
      <c r="J40" s="345">
        <v>80</v>
      </c>
      <c r="K40" s="346" t="str">
        <f t="shared" si="20"/>
        <v>So</v>
      </c>
      <c r="L40" s="350" t="str">
        <v/>
      </c>
      <c r="M40" s="348">
        <v>0</v>
      </c>
      <c r="N40" s="349">
        <v>0</v>
      </c>
      <c r="O40" s="344">
        <f t="shared" si="15"/>
        <v>44441</v>
      </c>
      <c r="P40" s="345">
        <v>80</v>
      </c>
      <c r="Q40" s="346" t="str">
        <f t="shared" si="21"/>
        <v>Mi</v>
      </c>
      <c r="R40" s="350" t="str">
        <v/>
      </c>
      <c r="S40" s="348" t="str">
        <v>FREI</v>
      </c>
      <c r="T40" s="349">
        <v>0</v>
      </c>
      <c r="U40" s="344">
        <f t="shared" si="16"/>
        <v>44471</v>
      </c>
      <c r="V40" s="345">
        <v>80</v>
      </c>
      <c r="W40" s="346" t="str">
        <f t="shared" si="22"/>
        <v>Fr</v>
      </c>
      <c r="X40" s="350" t="str">
        <v/>
      </c>
      <c r="Y40" s="348" t="str">
        <v>FREI</v>
      </c>
      <c r="Z40" s="349">
        <v>0</v>
      </c>
      <c r="AA40" s="344">
        <f t="shared" si="17"/>
        <v>44502</v>
      </c>
      <c r="AB40" s="345">
        <v>80</v>
      </c>
      <c r="AC40" s="346" t="str">
        <f t="shared" si="23"/>
        <v>Mo</v>
      </c>
      <c r="AD40" s="350" t="str">
        <v/>
      </c>
      <c r="AE40" s="348" t="str">
        <v>FREI</v>
      </c>
      <c r="AF40" s="349">
        <v>0</v>
      </c>
      <c r="AG40" s="344">
        <f t="shared" si="18"/>
        <v>44532</v>
      </c>
      <c r="AH40" s="345">
        <v>80</v>
      </c>
      <c r="AI40" s="346" t="str">
        <f t="shared" si="24"/>
        <v>Mi</v>
      </c>
      <c r="AJ40" s="350" t="str">
        <v/>
      </c>
      <c r="AK40" s="348" t="str">
        <v>FREI</v>
      </c>
      <c r="AL40" s="349">
        <v>0</v>
      </c>
      <c r="AM40" s="108"/>
    </row>
    <row r="41" spans="2:44" x14ac:dyDescent="0.2">
      <c r="B41" s="343">
        <v>4</v>
      </c>
      <c r="C41" s="344">
        <f t="shared" si="13"/>
        <v>44380</v>
      </c>
      <c r="D41" s="345">
        <v>80</v>
      </c>
      <c r="E41" s="346" t="str">
        <f t="shared" si="19"/>
        <v>Fr</v>
      </c>
      <c r="F41" s="387" t="str">
        <v/>
      </c>
      <c r="G41" s="356" t="str">
        <v>FREI</v>
      </c>
      <c r="H41" s="357">
        <v>0</v>
      </c>
      <c r="I41" s="344">
        <f t="shared" si="14"/>
        <v>44411</v>
      </c>
      <c r="J41" s="345">
        <v>80</v>
      </c>
      <c r="K41" s="346" t="str">
        <f t="shared" si="20"/>
        <v>Mo</v>
      </c>
      <c r="L41" s="350" t="str">
        <v/>
      </c>
      <c r="M41" s="356" t="str">
        <v>FREI</v>
      </c>
      <c r="N41" s="357">
        <v>0</v>
      </c>
      <c r="O41" s="344">
        <f t="shared" si="15"/>
        <v>44442</v>
      </c>
      <c r="P41" s="345">
        <v>80</v>
      </c>
      <c r="Q41" s="346" t="str">
        <f t="shared" si="21"/>
        <v>Do</v>
      </c>
      <c r="R41" s="350" t="str">
        <v/>
      </c>
      <c r="S41" s="356" t="str">
        <v>FREI</v>
      </c>
      <c r="T41" s="357">
        <v>0</v>
      </c>
      <c r="U41" s="344">
        <f t="shared" si="16"/>
        <v>44472</v>
      </c>
      <c r="V41" s="345">
        <v>80</v>
      </c>
      <c r="W41" s="346" t="str">
        <f t="shared" si="22"/>
        <v>Sa</v>
      </c>
      <c r="X41" s="350" t="str">
        <v/>
      </c>
      <c r="Y41" s="356">
        <v>0</v>
      </c>
      <c r="Z41" s="357">
        <v>0</v>
      </c>
      <c r="AA41" s="344">
        <f t="shared" si="17"/>
        <v>44503</v>
      </c>
      <c r="AB41" s="345">
        <v>80</v>
      </c>
      <c r="AC41" s="346" t="str">
        <f t="shared" si="23"/>
        <v>Di</v>
      </c>
      <c r="AD41" s="350" t="str">
        <v/>
      </c>
      <c r="AE41" s="356" t="str">
        <v>FREI</v>
      </c>
      <c r="AF41" s="357">
        <v>0</v>
      </c>
      <c r="AG41" s="344">
        <f t="shared" si="18"/>
        <v>44533</v>
      </c>
      <c r="AH41" s="345">
        <v>80</v>
      </c>
      <c r="AI41" s="346" t="str">
        <f t="shared" si="24"/>
        <v>Do</v>
      </c>
      <c r="AJ41" s="350" t="str">
        <v/>
      </c>
      <c r="AK41" s="356" t="str">
        <v>FREI</v>
      </c>
      <c r="AL41" s="357">
        <v>0</v>
      </c>
      <c r="AM41" s="108"/>
    </row>
    <row r="42" spans="2:44" x14ac:dyDescent="0.2">
      <c r="B42" s="343">
        <v>5</v>
      </c>
      <c r="C42" s="344">
        <f t="shared" si="13"/>
        <v>44381</v>
      </c>
      <c r="D42" s="345">
        <v>80</v>
      </c>
      <c r="E42" s="346" t="str">
        <f t="shared" si="19"/>
        <v>Sa</v>
      </c>
      <c r="F42" s="387" t="str">
        <v/>
      </c>
      <c r="G42" s="356">
        <v>0</v>
      </c>
      <c r="H42" s="357">
        <v>0</v>
      </c>
      <c r="I42" s="344">
        <f t="shared" si="14"/>
        <v>44412</v>
      </c>
      <c r="J42" s="345">
        <v>80</v>
      </c>
      <c r="K42" s="346" t="str">
        <f t="shared" si="20"/>
        <v>Di</v>
      </c>
      <c r="L42" s="350" t="str">
        <v/>
      </c>
      <c r="M42" s="356" t="str">
        <v>FREI</v>
      </c>
      <c r="N42" s="357">
        <v>0</v>
      </c>
      <c r="O42" s="344">
        <f t="shared" si="15"/>
        <v>44443</v>
      </c>
      <c r="P42" s="345">
        <v>80</v>
      </c>
      <c r="Q42" s="346" t="str">
        <f t="shared" si="21"/>
        <v>Fr</v>
      </c>
      <c r="R42" s="350" t="str">
        <v/>
      </c>
      <c r="S42" s="356" t="str">
        <v>FREI</v>
      </c>
      <c r="T42" s="357">
        <v>0</v>
      </c>
      <c r="U42" s="344">
        <f t="shared" si="16"/>
        <v>44473</v>
      </c>
      <c r="V42" s="345">
        <v>80</v>
      </c>
      <c r="W42" s="346" t="str">
        <f t="shared" si="22"/>
        <v>So</v>
      </c>
      <c r="X42" s="350" t="str">
        <v/>
      </c>
      <c r="Y42" s="356">
        <v>0</v>
      </c>
      <c r="Z42" s="357">
        <v>0</v>
      </c>
      <c r="AA42" s="344">
        <f t="shared" si="17"/>
        <v>44504</v>
      </c>
      <c r="AB42" s="345">
        <v>80</v>
      </c>
      <c r="AC42" s="346" t="str">
        <f t="shared" si="23"/>
        <v>Mi</v>
      </c>
      <c r="AD42" s="350" t="str">
        <v/>
      </c>
      <c r="AE42" s="356" t="str">
        <v>FREI</v>
      </c>
      <c r="AF42" s="357">
        <v>0</v>
      </c>
      <c r="AG42" s="344">
        <f t="shared" si="18"/>
        <v>44534</v>
      </c>
      <c r="AH42" s="345">
        <v>80</v>
      </c>
      <c r="AI42" s="346" t="str">
        <f t="shared" si="24"/>
        <v>Fr</v>
      </c>
      <c r="AJ42" s="350" t="str">
        <v/>
      </c>
      <c r="AK42" s="356" t="str">
        <v>FREI</v>
      </c>
      <c r="AL42" s="357">
        <v>0</v>
      </c>
      <c r="AM42" s="108"/>
    </row>
    <row r="43" spans="2:44" x14ac:dyDescent="0.2">
      <c r="B43" s="343">
        <v>6</v>
      </c>
      <c r="C43" s="344">
        <f t="shared" si="13"/>
        <v>44382</v>
      </c>
      <c r="D43" s="345">
        <v>80</v>
      </c>
      <c r="E43" s="346" t="str">
        <f t="shared" si="19"/>
        <v>So</v>
      </c>
      <c r="F43" s="387" t="str">
        <v/>
      </c>
      <c r="G43" s="356">
        <v>0</v>
      </c>
      <c r="H43" s="357">
        <v>0</v>
      </c>
      <c r="I43" s="344">
        <f t="shared" si="14"/>
        <v>44413</v>
      </c>
      <c r="J43" s="345">
        <v>80</v>
      </c>
      <c r="K43" s="346" t="str">
        <f t="shared" si="20"/>
        <v>Mi</v>
      </c>
      <c r="L43" s="350" t="str">
        <v/>
      </c>
      <c r="M43" s="356" t="str">
        <v>FREI</v>
      </c>
      <c r="N43" s="357">
        <v>0</v>
      </c>
      <c r="O43" s="344">
        <f t="shared" si="15"/>
        <v>44444</v>
      </c>
      <c r="P43" s="345">
        <v>80</v>
      </c>
      <c r="Q43" s="346" t="str">
        <f t="shared" si="21"/>
        <v>Sa</v>
      </c>
      <c r="R43" s="350" t="str">
        <v/>
      </c>
      <c r="S43" s="356">
        <v>0</v>
      </c>
      <c r="T43" s="357">
        <v>0</v>
      </c>
      <c r="U43" s="344">
        <f t="shared" si="16"/>
        <v>44474</v>
      </c>
      <c r="V43" s="345">
        <v>80</v>
      </c>
      <c r="W43" s="346" t="str">
        <f t="shared" si="22"/>
        <v>Mo</v>
      </c>
      <c r="X43" s="350" t="str">
        <v/>
      </c>
      <c r="Y43" s="356" t="str">
        <v>FREI</v>
      </c>
      <c r="Z43" s="357">
        <v>0</v>
      </c>
      <c r="AA43" s="344">
        <f t="shared" si="17"/>
        <v>44505</v>
      </c>
      <c r="AB43" s="345">
        <v>80</v>
      </c>
      <c r="AC43" s="346" t="str">
        <f t="shared" si="23"/>
        <v>Do</v>
      </c>
      <c r="AD43" s="350" t="str">
        <v/>
      </c>
      <c r="AE43" s="356" t="str">
        <v>FREI</v>
      </c>
      <c r="AF43" s="357">
        <v>0</v>
      </c>
      <c r="AG43" s="344">
        <f t="shared" si="18"/>
        <v>44535</v>
      </c>
      <c r="AH43" s="345">
        <v>80</v>
      </c>
      <c r="AI43" s="346" t="str">
        <f t="shared" si="24"/>
        <v>Sa</v>
      </c>
      <c r="AJ43" s="350" t="str">
        <v/>
      </c>
      <c r="AK43" s="356">
        <v>0</v>
      </c>
      <c r="AL43" s="357">
        <v>0</v>
      </c>
      <c r="AM43" s="103"/>
    </row>
    <row r="44" spans="2:44" x14ac:dyDescent="0.2">
      <c r="B44" s="343">
        <v>7</v>
      </c>
      <c r="C44" s="344">
        <f t="shared" si="13"/>
        <v>44383</v>
      </c>
      <c r="D44" s="345">
        <v>80</v>
      </c>
      <c r="E44" s="346" t="str">
        <f t="shared" si="19"/>
        <v>Mo</v>
      </c>
      <c r="F44" s="387" t="str">
        <v/>
      </c>
      <c r="G44" s="356" t="str">
        <v>FREI</v>
      </c>
      <c r="H44" s="357">
        <v>0</v>
      </c>
      <c r="I44" s="344">
        <f t="shared" si="14"/>
        <v>44414</v>
      </c>
      <c r="J44" s="345">
        <v>80</v>
      </c>
      <c r="K44" s="346" t="str">
        <f t="shared" si="20"/>
        <v>Do</v>
      </c>
      <c r="L44" s="350" t="str">
        <v/>
      </c>
      <c r="M44" s="356" t="str">
        <v>FREI</v>
      </c>
      <c r="N44" s="357">
        <v>0</v>
      </c>
      <c r="O44" s="344">
        <f t="shared" si="15"/>
        <v>44445</v>
      </c>
      <c r="P44" s="345">
        <v>80</v>
      </c>
      <c r="Q44" s="346" t="str">
        <f t="shared" si="21"/>
        <v>So</v>
      </c>
      <c r="R44" s="350" t="str">
        <v/>
      </c>
      <c r="S44" s="356">
        <v>0</v>
      </c>
      <c r="T44" s="357">
        <v>0</v>
      </c>
      <c r="U44" s="344">
        <f t="shared" si="16"/>
        <v>44475</v>
      </c>
      <c r="V44" s="345">
        <v>80</v>
      </c>
      <c r="W44" s="346" t="str">
        <f t="shared" si="22"/>
        <v>Di</v>
      </c>
      <c r="X44" s="350" t="str">
        <v/>
      </c>
      <c r="Y44" s="356" t="str">
        <v>FREI</v>
      </c>
      <c r="Z44" s="357">
        <v>0</v>
      </c>
      <c r="AA44" s="344">
        <f t="shared" si="17"/>
        <v>44506</v>
      </c>
      <c r="AB44" s="345">
        <v>80</v>
      </c>
      <c r="AC44" s="346" t="str">
        <f t="shared" si="23"/>
        <v>Fr</v>
      </c>
      <c r="AD44" s="350" t="str">
        <v/>
      </c>
      <c r="AE44" s="356" t="str">
        <v>FREI</v>
      </c>
      <c r="AF44" s="357">
        <v>0</v>
      </c>
      <c r="AG44" s="344">
        <f t="shared" si="18"/>
        <v>44536</v>
      </c>
      <c r="AH44" s="345">
        <v>80</v>
      </c>
      <c r="AI44" s="346" t="str">
        <f t="shared" si="24"/>
        <v>So</v>
      </c>
      <c r="AJ44" s="350" t="str">
        <v/>
      </c>
      <c r="AK44" s="356">
        <v>0</v>
      </c>
      <c r="AL44" s="357">
        <v>0</v>
      </c>
      <c r="AM44" s="103"/>
    </row>
    <row r="45" spans="2:44" x14ac:dyDescent="0.2">
      <c r="B45" s="343">
        <v>8</v>
      </c>
      <c r="C45" s="344">
        <f t="shared" si="13"/>
        <v>44384</v>
      </c>
      <c r="D45" s="345">
        <v>80</v>
      </c>
      <c r="E45" s="346" t="str">
        <f t="shared" si="19"/>
        <v>Di</v>
      </c>
      <c r="F45" s="387" t="str">
        <v/>
      </c>
      <c r="G45" s="356" t="str">
        <v>FREI</v>
      </c>
      <c r="H45" s="357">
        <v>0</v>
      </c>
      <c r="I45" s="344">
        <f t="shared" si="14"/>
        <v>44415</v>
      </c>
      <c r="J45" s="345">
        <v>80</v>
      </c>
      <c r="K45" s="346" t="str">
        <f t="shared" si="20"/>
        <v>Fr</v>
      </c>
      <c r="L45" s="350" t="str">
        <v/>
      </c>
      <c r="M45" s="356" t="str">
        <v>FREI</v>
      </c>
      <c r="N45" s="357">
        <v>0</v>
      </c>
      <c r="O45" s="344">
        <f t="shared" si="15"/>
        <v>44446</v>
      </c>
      <c r="P45" s="345">
        <v>80</v>
      </c>
      <c r="Q45" s="346" t="str">
        <f t="shared" si="21"/>
        <v>Mo</v>
      </c>
      <c r="R45" s="350" t="str">
        <v/>
      </c>
      <c r="S45" s="356" t="str">
        <v>FREI</v>
      </c>
      <c r="T45" s="357">
        <v>0</v>
      </c>
      <c r="U45" s="344">
        <f t="shared" si="16"/>
        <v>44476</v>
      </c>
      <c r="V45" s="345">
        <v>80</v>
      </c>
      <c r="W45" s="346" t="str">
        <f t="shared" si="22"/>
        <v>Mi</v>
      </c>
      <c r="X45" s="350" t="str">
        <v/>
      </c>
      <c r="Y45" s="356" t="str">
        <v>FREI</v>
      </c>
      <c r="Z45" s="357">
        <v>0</v>
      </c>
      <c r="AA45" s="344">
        <f t="shared" si="17"/>
        <v>44507</v>
      </c>
      <c r="AB45" s="345">
        <v>80</v>
      </c>
      <c r="AC45" s="346" t="str">
        <f t="shared" si="23"/>
        <v>Sa</v>
      </c>
      <c r="AD45" s="350" t="str">
        <v/>
      </c>
      <c r="AE45" s="356">
        <v>0</v>
      </c>
      <c r="AF45" s="357">
        <v>0</v>
      </c>
      <c r="AG45" s="344">
        <f t="shared" si="18"/>
        <v>44537</v>
      </c>
      <c r="AH45" s="345">
        <v>80</v>
      </c>
      <c r="AI45" s="346" t="str">
        <f t="shared" si="24"/>
        <v>Mo</v>
      </c>
      <c r="AJ45" s="350" t="str">
        <v/>
      </c>
      <c r="AK45" s="356" t="str">
        <v>FREI</v>
      </c>
      <c r="AL45" s="357">
        <v>0</v>
      </c>
      <c r="AM45" s="103"/>
    </row>
    <row r="46" spans="2:44" x14ac:dyDescent="0.2">
      <c r="B46" s="343">
        <v>9</v>
      </c>
      <c r="C46" s="344">
        <f t="shared" si="13"/>
        <v>44385</v>
      </c>
      <c r="D46" s="345">
        <v>80</v>
      </c>
      <c r="E46" s="346" t="str">
        <f t="shared" si="19"/>
        <v>Mi</v>
      </c>
      <c r="F46" s="387" t="str">
        <v/>
      </c>
      <c r="G46" s="356" t="str">
        <v>FREI</v>
      </c>
      <c r="H46" s="357">
        <v>0</v>
      </c>
      <c r="I46" s="344">
        <f t="shared" si="14"/>
        <v>44416</v>
      </c>
      <c r="J46" s="345">
        <v>80</v>
      </c>
      <c r="K46" s="346" t="str">
        <f t="shared" si="20"/>
        <v>Sa</v>
      </c>
      <c r="L46" s="350" t="str">
        <v/>
      </c>
      <c r="M46" s="356">
        <v>0</v>
      </c>
      <c r="N46" s="357">
        <v>0</v>
      </c>
      <c r="O46" s="344">
        <f t="shared" si="15"/>
        <v>44447</v>
      </c>
      <c r="P46" s="345">
        <v>80</v>
      </c>
      <c r="Q46" s="346" t="str">
        <f t="shared" si="21"/>
        <v>Di</v>
      </c>
      <c r="R46" s="350" t="str">
        <v/>
      </c>
      <c r="S46" s="356" t="str">
        <v>FREI</v>
      </c>
      <c r="T46" s="357">
        <v>0</v>
      </c>
      <c r="U46" s="344">
        <f t="shared" si="16"/>
        <v>44477</v>
      </c>
      <c r="V46" s="345">
        <v>80</v>
      </c>
      <c r="W46" s="346" t="str">
        <f t="shared" si="22"/>
        <v>Do</v>
      </c>
      <c r="X46" s="350" t="str">
        <v/>
      </c>
      <c r="Y46" s="356" t="str">
        <v>FREI</v>
      </c>
      <c r="Z46" s="357">
        <v>0</v>
      </c>
      <c r="AA46" s="344">
        <f t="shared" si="17"/>
        <v>44508</v>
      </c>
      <c r="AB46" s="345">
        <v>80</v>
      </c>
      <c r="AC46" s="346" t="str">
        <f t="shared" si="23"/>
        <v>So</v>
      </c>
      <c r="AD46" s="350" t="str">
        <v/>
      </c>
      <c r="AE46" s="356">
        <v>0</v>
      </c>
      <c r="AF46" s="357">
        <v>0</v>
      </c>
      <c r="AG46" s="344">
        <f t="shared" si="18"/>
        <v>44538</v>
      </c>
      <c r="AH46" s="345">
        <v>80</v>
      </c>
      <c r="AI46" s="346" t="str">
        <f t="shared" si="24"/>
        <v>Di</v>
      </c>
      <c r="AJ46" s="350" t="str">
        <v/>
      </c>
      <c r="AK46" s="356" t="str">
        <v>FREI</v>
      </c>
      <c r="AL46" s="357">
        <v>0</v>
      </c>
      <c r="AM46" s="103"/>
    </row>
    <row r="47" spans="2:44" x14ac:dyDescent="0.2">
      <c r="B47" s="343">
        <v>10</v>
      </c>
      <c r="C47" s="344">
        <f t="shared" si="13"/>
        <v>44386</v>
      </c>
      <c r="D47" s="345">
        <v>80</v>
      </c>
      <c r="E47" s="346" t="str">
        <f t="shared" si="19"/>
        <v>Do</v>
      </c>
      <c r="F47" s="387" t="str">
        <v/>
      </c>
      <c r="G47" s="356" t="str">
        <v>FREI</v>
      </c>
      <c r="H47" s="357">
        <v>0</v>
      </c>
      <c r="I47" s="344">
        <f t="shared" si="14"/>
        <v>44417</v>
      </c>
      <c r="J47" s="345">
        <v>80</v>
      </c>
      <c r="K47" s="346" t="str">
        <f t="shared" si="20"/>
        <v>So</v>
      </c>
      <c r="L47" s="350" t="str">
        <v/>
      </c>
      <c r="M47" s="356">
        <v>0</v>
      </c>
      <c r="N47" s="357">
        <v>0</v>
      </c>
      <c r="O47" s="344">
        <f t="shared" si="15"/>
        <v>44448</v>
      </c>
      <c r="P47" s="345">
        <v>80</v>
      </c>
      <c r="Q47" s="346" t="str">
        <f t="shared" si="21"/>
        <v>Mi</v>
      </c>
      <c r="R47" s="350" t="str">
        <v/>
      </c>
      <c r="S47" s="356" t="str">
        <v>FREI</v>
      </c>
      <c r="T47" s="357">
        <v>0</v>
      </c>
      <c r="U47" s="344">
        <f t="shared" si="16"/>
        <v>44478</v>
      </c>
      <c r="V47" s="345">
        <v>80</v>
      </c>
      <c r="W47" s="346" t="str">
        <f t="shared" si="22"/>
        <v>Fr</v>
      </c>
      <c r="X47" s="350" t="str">
        <v/>
      </c>
      <c r="Y47" s="356" t="str">
        <v>FREI</v>
      </c>
      <c r="Z47" s="357">
        <v>0</v>
      </c>
      <c r="AA47" s="344">
        <f t="shared" si="17"/>
        <v>44509</v>
      </c>
      <c r="AB47" s="345">
        <v>80</v>
      </c>
      <c r="AC47" s="346" t="str">
        <f t="shared" si="23"/>
        <v>Mo</v>
      </c>
      <c r="AD47" s="350" t="str">
        <v/>
      </c>
      <c r="AE47" s="356" t="str">
        <v>FREI</v>
      </c>
      <c r="AF47" s="357">
        <v>0</v>
      </c>
      <c r="AG47" s="344">
        <f t="shared" si="18"/>
        <v>44539</v>
      </c>
      <c r="AH47" s="345">
        <v>80</v>
      </c>
      <c r="AI47" s="346" t="str">
        <f t="shared" si="24"/>
        <v>Mi</v>
      </c>
      <c r="AJ47" s="350" t="str">
        <v/>
      </c>
      <c r="AK47" s="356" t="str">
        <v>FREI</v>
      </c>
      <c r="AL47" s="357">
        <v>0</v>
      </c>
    </row>
    <row r="48" spans="2:44" x14ac:dyDescent="0.2">
      <c r="B48" s="343">
        <v>11</v>
      </c>
      <c r="C48" s="344">
        <f t="shared" si="13"/>
        <v>44387</v>
      </c>
      <c r="D48" s="345">
        <v>80</v>
      </c>
      <c r="E48" s="346" t="str">
        <f t="shared" si="19"/>
        <v>Fr</v>
      </c>
      <c r="F48" s="387" t="str">
        <v/>
      </c>
      <c r="G48" s="356" t="str">
        <v>FREI</v>
      </c>
      <c r="H48" s="357">
        <v>0</v>
      </c>
      <c r="I48" s="344">
        <f t="shared" si="14"/>
        <v>44418</v>
      </c>
      <c r="J48" s="345">
        <v>80</v>
      </c>
      <c r="K48" s="346" t="str">
        <f t="shared" si="20"/>
        <v>Mo</v>
      </c>
      <c r="L48" s="350" t="str">
        <v/>
      </c>
      <c r="M48" s="356" t="str">
        <v>FREI</v>
      </c>
      <c r="N48" s="357">
        <v>0</v>
      </c>
      <c r="O48" s="344">
        <f t="shared" si="15"/>
        <v>44449</v>
      </c>
      <c r="P48" s="345">
        <v>80</v>
      </c>
      <c r="Q48" s="346" t="str">
        <f t="shared" si="21"/>
        <v>Do</v>
      </c>
      <c r="R48" s="350" t="str">
        <v/>
      </c>
      <c r="S48" s="356" t="str">
        <v>FREI</v>
      </c>
      <c r="T48" s="357">
        <v>0</v>
      </c>
      <c r="U48" s="344">
        <f t="shared" si="16"/>
        <v>44479</v>
      </c>
      <c r="V48" s="345">
        <v>80</v>
      </c>
      <c r="W48" s="346" t="str">
        <f t="shared" si="22"/>
        <v>Sa</v>
      </c>
      <c r="X48" s="350" t="str">
        <v/>
      </c>
      <c r="Y48" s="356">
        <v>0</v>
      </c>
      <c r="Z48" s="357">
        <v>0</v>
      </c>
      <c r="AA48" s="344">
        <f t="shared" si="17"/>
        <v>44510</v>
      </c>
      <c r="AB48" s="345">
        <v>80</v>
      </c>
      <c r="AC48" s="346" t="str">
        <f t="shared" si="23"/>
        <v>Di</v>
      </c>
      <c r="AD48" s="350" t="str">
        <v/>
      </c>
      <c r="AE48" s="356" t="str">
        <v>FREI</v>
      </c>
      <c r="AF48" s="357">
        <v>0</v>
      </c>
      <c r="AG48" s="344">
        <f t="shared" si="18"/>
        <v>44540</v>
      </c>
      <c r="AH48" s="345">
        <v>80</v>
      </c>
      <c r="AI48" s="346" t="str">
        <f t="shared" si="24"/>
        <v>Do</v>
      </c>
      <c r="AJ48" s="350" t="str">
        <v/>
      </c>
      <c r="AK48" s="356" t="str">
        <v>FREI</v>
      </c>
      <c r="AL48" s="357">
        <v>0</v>
      </c>
    </row>
    <row r="49" spans="2:38" x14ac:dyDescent="0.2">
      <c r="B49" s="343">
        <v>12</v>
      </c>
      <c r="C49" s="344">
        <f t="shared" si="13"/>
        <v>44388</v>
      </c>
      <c r="D49" s="345">
        <v>80</v>
      </c>
      <c r="E49" s="346" t="str">
        <f t="shared" si="19"/>
        <v>Sa</v>
      </c>
      <c r="F49" s="387" t="str">
        <v/>
      </c>
      <c r="G49" s="356">
        <v>0</v>
      </c>
      <c r="H49" s="357">
        <v>0</v>
      </c>
      <c r="I49" s="344">
        <f t="shared" si="14"/>
        <v>44419</v>
      </c>
      <c r="J49" s="345">
        <v>80</v>
      </c>
      <c r="K49" s="346" t="str">
        <f t="shared" si="20"/>
        <v>Di</v>
      </c>
      <c r="L49" s="350" t="str">
        <v/>
      </c>
      <c r="M49" s="356" t="str">
        <v>FREI</v>
      </c>
      <c r="N49" s="357">
        <v>0</v>
      </c>
      <c r="O49" s="344">
        <f t="shared" si="15"/>
        <v>44450</v>
      </c>
      <c r="P49" s="345">
        <v>80</v>
      </c>
      <c r="Q49" s="346" t="str">
        <f t="shared" si="21"/>
        <v>Fr</v>
      </c>
      <c r="R49" s="350" t="str">
        <v/>
      </c>
      <c r="S49" s="356" t="str">
        <v>FREI</v>
      </c>
      <c r="T49" s="357">
        <v>0</v>
      </c>
      <c r="U49" s="344">
        <f t="shared" si="16"/>
        <v>44480</v>
      </c>
      <c r="V49" s="345">
        <v>80</v>
      </c>
      <c r="W49" s="346" t="str">
        <f t="shared" si="22"/>
        <v>So</v>
      </c>
      <c r="X49" s="350" t="str">
        <v/>
      </c>
      <c r="Y49" s="356">
        <v>0</v>
      </c>
      <c r="Z49" s="357">
        <v>0</v>
      </c>
      <c r="AA49" s="344">
        <f t="shared" si="17"/>
        <v>44511</v>
      </c>
      <c r="AB49" s="345">
        <v>80</v>
      </c>
      <c r="AC49" s="346" t="str">
        <f t="shared" si="23"/>
        <v>Mi</v>
      </c>
      <c r="AD49" s="350" t="str">
        <v/>
      </c>
      <c r="AE49" s="356" t="str">
        <v>FREI</v>
      </c>
      <c r="AF49" s="357">
        <v>0</v>
      </c>
      <c r="AG49" s="344">
        <f t="shared" si="18"/>
        <v>44541</v>
      </c>
      <c r="AH49" s="345">
        <v>80</v>
      </c>
      <c r="AI49" s="346" t="str">
        <f t="shared" si="24"/>
        <v>Fr</v>
      </c>
      <c r="AJ49" s="350" t="str">
        <v/>
      </c>
      <c r="AK49" s="356" t="str">
        <v>FREI</v>
      </c>
      <c r="AL49" s="357">
        <v>0</v>
      </c>
    </row>
    <row r="50" spans="2:38" x14ac:dyDescent="0.2">
      <c r="B50" s="343">
        <v>13</v>
      </c>
      <c r="C50" s="344">
        <f t="shared" si="13"/>
        <v>44389</v>
      </c>
      <c r="D50" s="345">
        <v>80</v>
      </c>
      <c r="E50" s="346" t="str">
        <f t="shared" si="19"/>
        <v>So</v>
      </c>
      <c r="F50" s="387" t="str">
        <v/>
      </c>
      <c r="G50" s="356">
        <v>0</v>
      </c>
      <c r="H50" s="357">
        <v>0</v>
      </c>
      <c r="I50" s="344">
        <f t="shared" si="14"/>
        <v>44420</v>
      </c>
      <c r="J50" s="345">
        <v>80</v>
      </c>
      <c r="K50" s="346" t="str">
        <f t="shared" si="20"/>
        <v>Mi</v>
      </c>
      <c r="L50" s="350" t="str">
        <v/>
      </c>
      <c r="M50" s="356" t="str">
        <v>FREI</v>
      </c>
      <c r="N50" s="357">
        <v>0</v>
      </c>
      <c r="O50" s="344">
        <f t="shared" si="15"/>
        <v>44451</v>
      </c>
      <c r="P50" s="345">
        <v>80</v>
      </c>
      <c r="Q50" s="346" t="str">
        <f t="shared" si="21"/>
        <v>Sa</v>
      </c>
      <c r="R50" s="350" t="str">
        <v/>
      </c>
      <c r="S50" s="356">
        <v>0</v>
      </c>
      <c r="T50" s="357">
        <v>0</v>
      </c>
      <c r="U50" s="344">
        <f t="shared" si="16"/>
        <v>44481</v>
      </c>
      <c r="V50" s="345">
        <v>80</v>
      </c>
      <c r="W50" s="346" t="str">
        <f t="shared" si="22"/>
        <v>Mo</v>
      </c>
      <c r="X50" s="350" t="str">
        <v/>
      </c>
      <c r="Y50" s="356" t="str">
        <v>FREI</v>
      </c>
      <c r="Z50" s="357">
        <v>0</v>
      </c>
      <c r="AA50" s="344">
        <f t="shared" si="17"/>
        <v>44512</v>
      </c>
      <c r="AB50" s="345">
        <v>80</v>
      </c>
      <c r="AC50" s="346" t="str">
        <f t="shared" si="23"/>
        <v>Do</v>
      </c>
      <c r="AD50" s="350" t="str">
        <v/>
      </c>
      <c r="AE50" s="356" t="str">
        <v>FREI</v>
      </c>
      <c r="AF50" s="357">
        <v>0</v>
      </c>
      <c r="AG50" s="344">
        <f t="shared" si="18"/>
        <v>44542</v>
      </c>
      <c r="AH50" s="345">
        <v>80</v>
      </c>
      <c r="AI50" s="346" t="str">
        <f t="shared" si="24"/>
        <v>Sa</v>
      </c>
      <c r="AJ50" s="350" t="str">
        <v/>
      </c>
      <c r="AK50" s="356">
        <v>0</v>
      </c>
      <c r="AL50" s="357">
        <v>0</v>
      </c>
    </row>
    <row r="51" spans="2:38" x14ac:dyDescent="0.2">
      <c r="B51" s="343">
        <v>14</v>
      </c>
      <c r="C51" s="344">
        <f t="shared" si="13"/>
        <v>44390</v>
      </c>
      <c r="D51" s="345">
        <v>80</v>
      </c>
      <c r="E51" s="346" t="str">
        <f t="shared" si="19"/>
        <v>Mo</v>
      </c>
      <c r="F51" s="387" t="str">
        <v/>
      </c>
      <c r="G51" s="356" t="str">
        <v>FREI</v>
      </c>
      <c r="H51" s="357">
        <v>0</v>
      </c>
      <c r="I51" s="344">
        <f t="shared" si="14"/>
        <v>44421</v>
      </c>
      <c r="J51" s="345">
        <v>80</v>
      </c>
      <c r="K51" s="346" t="str">
        <f t="shared" si="20"/>
        <v>Do</v>
      </c>
      <c r="L51" s="350" t="str">
        <v/>
      </c>
      <c r="M51" s="356" t="str">
        <v>FREI</v>
      </c>
      <c r="N51" s="357">
        <v>0</v>
      </c>
      <c r="O51" s="344">
        <f t="shared" si="15"/>
        <v>44452</v>
      </c>
      <c r="P51" s="345">
        <v>80</v>
      </c>
      <c r="Q51" s="346" t="str">
        <f t="shared" si="21"/>
        <v>So</v>
      </c>
      <c r="R51" s="350" t="str">
        <v/>
      </c>
      <c r="S51" s="356">
        <v>0</v>
      </c>
      <c r="T51" s="357">
        <v>0</v>
      </c>
      <c r="U51" s="344">
        <f t="shared" si="16"/>
        <v>44482</v>
      </c>
      <c r="V51" s="345">
        <v>80</v>
      </c>
      <c r="W51" s="346" t="str">
        <f t="shared" si="22"/>
        <v>Di</v>
      </c>
      <c r="X51" s="350" t="str">
        <v/>
      </c>
      <c r="Y51" s="356" t="str">
        <v>FREI</v>
      </c>
      <c r="Z51" s="357">
        <v>0</v>
      </c>
      <c r="AA51" s="344">
        <f t="shared" si="17"/>
        <v>44513</v>
      </c>
      <c r="AB51" s="345">
        <v>80</v>
      </c>
      <c r="AC51" s="346" t="str">
        <f t="shared" si="23"/>
        <v>Fr</v>
      </c>
      <c r="AD51" s="350" t="str">
        <v/>
      </c>
      <c r="AE51" s="356" t="str">
        <v>FREI</v>
      </c>
      <c r="AF51" s="357">
        <v>0</v>
      </c>
      <c r="AG51" s="344">
        <f t="shared" si="18"/>
        <v>44543</v>
      </c>
      <c r="AH51" s="345">
        <v>80</v>
      </c>
      <c r="AI51" s="346" t="str">
        <f t="shared" si="24"/>
        <v>So</v>
      </c>
      <c r="AJ51" s="350" t="str">
        <v/>
      </c>
      <c r="AK51" s="356">
        <v>0</v>
      </c>
      <c r="AL51" s="357">
        <v>0</v>
      </c>
    </row>
    <row r="52" spans="2:38" x14ac:dyDescent="0.2">
      <c r="B52" s="343">
        <v>15</v>
      </c>
      <c r="C52" s="344">
        <f t="shared" si="13"/>
        <v>44391</v>
      </c>
      <c r="D52" s="345">
        <v>80</v>
      </c>
      <c r="E52" s="346" t="str">
        <f t="shared" si="19"/>
        <v>Di</v>
      </c>
      <c r="F52" s="387" t="str">
        <v/>
      </c>
      <c r="G52" s="356" t="str">
        <v>FREI</v>
      </c>
      <c r="H52" s="357">
        <v>0</v>
      </c>
      <c r="I52" s="344">
        <f t="shared" si="14"/>
        <v>44422</v>
      </c>
      <c r="J52" s="345">
        <v>80</v>
      </c>
      <c r="K52" s="346" t="str">
        <f t="shared" si="20"/>
        <v>Fr</v>
      </c>
      <c r="L52" s="350" t="str">
        <v/>
      </c>
      <c r="M52" s="356" t="str">
        <v>FREI</v>
      </c>
      <c r="N52" s="357">
        <v>0</v>
      </c>
      <c r="O52" s="344">
        <f t="shared" si="15"/>
        <v>44453</v>
      </c>
      <c r="P52" s="345">
        <v>80</v>
      </c>
      <c r="Q52" s="346" t="str">
        <f t="shared" si="21"/>
        <v>Mo</v>
      </c>
      <c r="R52" s="350" t="str">
        <v/>
      </c>
      <c r="S52" s="356" t="str">
        <v>FREI</v>
      </c>
      <c r="T52" s="357">
        <v>0</v>
      </c>
      <c r="U52" s="344">
        <f t="shared" si="16"/>
        <v>44483</v>
      </c>
      <c r="V52" s="345">
        <v>80</v>
      </c>
      <c r="W52" s="346" t="str">
        <f t="shared" si="22"/>
        <v>Mi</v>
      </c>
      <c r="X52" s="350" t="str">
        <v/>
      </c>
      <c r="Y52" s="356" t="str">
        <v>FREI</v>
      </c>
      <c r="Z52" s="357">
        <v>0</v>
      </c>
      <c r="AA52" s="344">
        <f t="shared" si="17"/>
        <v>44514</v>
      </c>
      <c r="AB52" s="345">
        <v>80</v>
      </c>
      <c r="AC52" s="346" t="str">
        <f t="shared" si="23"/>
        <v>Sa</v>
      </c>
      <c r="AD52" s="350" t="str">
        <v/>
      </c>
      <c r="AE52" s="356">
        <v>0</v>
      </c>
      <c r="AF52" s="357">
        <v>0</v>
      </c>
      <c r="AG52" s="344">
        <f t="shared" si="18"/>
        <v>44544</v>
      </c>
      <c r="AH52" s="345">
        <v>80</v>
      </c>
      <c r="AI52" s="346" t="str">
        <f t="shared" si="24"/>
        <v>Mo</v>
      </c>
      <c r="AJ52" s="350" t="str">
        <v/>
      </c>
      <c r="AK52" s="356" t="str">
        <v>FREI</v>
      </c>
      <c r="AL52" s="357">
        <v>0</v>
      </c>
    </row>
    <row r="53" spans="2:38" x14ac:dyDescent="0.2">
      <c r="B53" s="343">
        <v>16</v>
      </c>
      <c r="C53" s="344">
        <f t="shared" si="13"/>
        <v>44392</v>
      </c>
      <c r="D53" s="345">
        <v>80</v>
      </c>
      <c r="E53" s="346" t="str">
        <f t="shared" si="19"/>
        <v>Mi</v>
      </c>
      <c r="F53" s="387" t="str">
        <v/>
      </c>
      <c r="G53" s="356" t="str">
        <v>FREI</v>
      </c>
      <c r="H53" s="357">
        <v>0</v>
      </c>
      <c r="I53" s="344">
        <f t="shared" si="14"/>
        <v>44423</v>
      </c>
      <c r="J53" s="345">
        <v>80</v>
      </c>
      <c r="K53" s="346" t="str">
        <f t="shared" si="20"/>
        <v>Sa</v>
      </c>
      <c r="L53" s="350" t="str">
        <v/>
      </c>
      <c r="M53" s="356">
        <v>0</v>
      </c>
      <c r="N53" s="357">
        <v>0</v>
      </c>
      <c r="O53" s="344">
        <f t="shared" si="15"/>
        <v>44454</v>
      </c>
      <c r="P53" s="345">
        <v>80</v>
      </c>
      <c r="Q53" s="346" t="str">
        <f t="shared" si="21"/>
        <v>Di</v>
      </c>
      <c r="R53" s="350" t="str">
        <v/>
      </c>
      <c r="S53" s="356" t="str">
        <v>FREI</v>
      </c>
      <c r="T53" s="357">
        <v>0</v>
      </c>
      <c r="U53" s="344">
        <f t="shared" si="16"/>
        <v>44484</v>
      </c>
      <c r="V53" s="345">
        <v>80</v>
      </c>
      <c r="W53" s="346" t="str">
        <f t="shared" si="22"/>
        <v>Do</v>
      </c>
      <c r="X53" s="350" t="str">
        <v/>
      </c>
      <c r="Y53" s="356" t="str">
        <v>FREI</v>
      </c>
      <c r="Z53" s="357">
        <v>0</v>
      </c>
      <c r="AA53" s="344">
        <f t="shared" si="17"/>
        <v>44515</v>
      </c>
      <c r="AB53" s="345">
        <v>80</v>
      </c>
      <c r="AC53" s="346" t="str">
        <f t="shared" si="23"/>
        <v>So</v>
      </c>
      <c r="AD53" s="350" t="str">
        <v/>
      </c>
      <c r="AE53" s="356">
        <v>0</v>
      </c>
      <c r="AF53" s="357">
        <v>0</v>
      </c>
      <c r="AG53" s="344">
        <f t="shared" si="18"/>
        <v>44545</v>
      </c>
      <c r="AH53" s="345">
        <v>80</v>
      </c>
      <c r="AI53" s="346" t="str">
        <f t="shared" si="24"/>
        <v>Di</v>
      </c>
      <c r="AJ53" s="350" t="str">
        <v/>
      </c>
      <c r="AK53" s="356" t="str">
        <v>FREI</v>
      </c>
      <c r="AL53" s="357">
        <v>0</v>
      </c>
    </row>
    <row r="54" spans="2:38" x14ac:dyDescent="0.2">
      <c r="B54" s="343">
        <v>17</v>
      </c>
      <c r="C54" s="344">
        <f t="shared" si="13"/>
        <v>44393</v>
      </c>
      <c r="D54" s="345">
        <v>80</v>
      </c>
      <c r="E54" s="346" t="str">
        <f t="shared" si="19"/>
        <v>Do</v>
      </c>
      <c r="F54" s="387" t="str">
        <v/>
      </c>
      <c r="G54" s="356" t="str">
        <v>FREI</v>
      </c>
      <c r="H54" s="357">
        <v>0</v>
      </c>
      <c r="I54" s="344">
        <f t="shared" si="14"/>
        <v>44424</v>
      </c>
      <c r="J54" s="345">
        <v>80</v>
      </c>
      <c r="K54" s="346" t="str">
        <f t="shared" si="20"/>
        <v>So</v>
      </c>
      <c r="L54" s="350" t="str">
        <v/>
      </c>
      <c r="M54" s="356">
        <v>0</v>
      </c>
      <c r="N54" s="357">
        <v>0</v>
      </c>
      <c r="O54" s="344">
        <f t="shared" si="15"/>
        <v>44455</v>
      </c>
      <c r="P54" s="345">
        <v>80</v>
      </c>
      <c r="Q54" s="346" t="str">
        <f t="shared" si="21"/>
        <v>Mi</v>
      </c>
      <c r="R54" s="350" t="str">
        <v/>
      </c>
      <c r="S54" s="356" t="str">
        <v>FREI</v>
      </c>
      <c r="T54" s="357">
        <v>0</v>
      </c>
      <c r="U54" s="344">
        <f t="shared" si="16"/>
        <v>44485</v>
      </c>
      <c r="V54" s="345">
        <v>80</v>
      </c>
      <c r="W54" s="346" t="str">
        <f t="shared" si="22"/>
        <v>Fr</v>
      </c>
      <c r="X54" s="350" t="str">
        <v/>
      </c>
      <c r="Y54" s="356" t="str">
        <v>FREI</v>
      </c>
      <c r="Z54" s="357">
        <v>0</v>
      </c>
      <c r="AA54" s="344">
        <f t="shared" si="17"/>
        <v>44516</v>
      </c>
      <c r="AB54" s="345">
        <v>80</v>
      </c>
      <c r="AC54" s="346" t="str">
        <f t="shared" si="23"/>
        <v>Mo</v>
      </c>
      <c r="AD54" s="350" t="str">
        <v/>
      </c>
      <c r="AE54" s="356" t="str">
        <v>FREI</v>
      </c>
      <c r="AF54" s="357">
        <v>0</v>
      </c>
      <c r="AG54" s="344">
        <f t="shared" si="18"/>
        <v>44546</v>
      </c>
      <c r="AH54" s="345">
        <v>80</v>
      </c>
      <c r="AI54" s="346" t="str">
        <f t="shared" si="24"/>
        <v>Mi</v>
      </c>
      <c r="AJ54" s="350" t="str">
        <v/>
      </c>
      <c r="AK54" s="356" t="str">
        <v>FREI</v>
      </c>
      <c r="AL54" s="357">
        <v>0</v>
      </c>
    </row>
    <row r="55" spans="2:38" x14ac:dyDescent="0.2">
      <c r="B55" s="343">
        <v>18</v>
      </c>
      <c r="C55" s="344">
        <f t="shared" si="13"/>
        <v>44394</v>
      </c>
      <c r="D55" s="345">
        <v>80</v>
      </c>
      <c r="E55" s="346" t="str">
        <f t="shared" si="19"/>
        <v>Fr</v>
      </c>
      <c r="F55" s="387" t="str">
        <v/>
      </c>
      <c r="G55" s="356" t="str">
        <v>FREI</v>
      </c>
      <c r="H55" s="357">
        <v>0</v>
      </c>
      <c r="I55" s="344">
        <f t="shared" si="14"/>
        <v>44425</v>
      </c>
      <c r="J55" s="345">
        <v>80</v>
      </c>
      <c r="K55" s="346" t="str">
        <f t="shared" si="20"/>
        <v>Mo</v>
      </c>
      <c r="L55" s="350" t="str">
        <v/>
      </c>
      <c r="M55" s="356" t="str">
        <v>FREI</v>
      </c>
      <c r="N55" s="357">
        <v>0</v>
      </c>
      <c r="O55" s="344">
        <f t="shared" si="15"/>
        <v>44456</v>
      </c>
      <c r="P55" s="345">
        <v>80</v>
      </c>
      <c r="Q55" s="346" t="str">
        <f t="shared" si="21"/>
        <v>Do</v>
      </c>
      <c r="R55" s="350" t="str">
        <v/>
      </c>
      <c r="S55" s="356" t="str">
        <v>FREI</v>
      </c>
      <c r="T55" s="357">
        <v>0</v>
      </c>
      <c r="U55" s="344">
        <f t="shared" si="16"/>
        <v>44486</v>
      </c>
      <c r="V55" s="345">
        <v>80</v>
      </c>
      <c r="W55" s="346" t="str">
        <f t="shared" si="22"/>
        <v>Sa</v>
      </c>
      <c r="X55" s="350" t="str">
        <v/>
      </c>
      <c r="Y55" s="356">
        <v>0</v>
      </c>
      <c r="Z55" s="357">
        <v>0</v>
      </c>
      <c r="AA55" s="344">
        <f t="shared" si="17"/>
        <v>44517</v>
      </c>
      <c r="AB55" s="345">
        <v>80</v>
      </c>
      <c r="AC55" s="346" t="str">
        <f t="shared" si="23"/>
        <v>Di</v>
      </c>
      <c r="AD55" s="350" t="str">
        <v/>
      </c>
      <c r="AE55" s="356" t="str">
        <v>FREI</v>
      </c>
      <c r="AF55" s="357">
        <v>0</v>
      </c>
      <c r="AG55" s="344">
        <f t="shared" si="18"/>
        <v>44547</v>
      </c>
      <c r="AH55" s="345">
        <v>80</v>
      </c>
      <c r="AI55" s="346" t="str">
        <f t="shared" si="24"/>
        <v>Do</v>
      </c>
      <c r="AJ55" s="350" t="str">
        <v/>
      </c>
      <c r="AK55" s="356" t="str">
        <v>FREI</v>
      </c>
      <c r="AL55" s="357">
        <v>0</v>
      </c>
    </row>
    <row r="56" spans="2:38" x14ac:dyDescent="0.2">
      <c r="B56" s="343">
        <v>19</v>
      </c>
      <c r="C56" s="344">
        <f t="shared" si="13"/>
        <v>44395</v>
      </c>
      <c r="D56" s="345">
        <v>80</v>
      </c>
      <c r="E56" s="346" t="str">
        <f t="shared" si="19"/>
        <v>Sa</v>
      </c>
      <c r="F56" s="387" t="str">
        <v/>
      </c>
      <c r="G56" s="356">
        <v>0</v>
      </c>
      <c r="H56" s="357">
        <v>0</v>
      </c>
      <c r="I56" s="344">
        <f t="shared" si="14"/>
        <v>44426</v>
      </c>
      <c r="J56" s="345">
        <v>80</v>
      </c>
      <c r="K56" s="346" t="str">
        <f t="shared" si="20"/>
        <v>Di</v>
      </c>
      <c r="L56" s="350" t="str">
        <v/>
      </c>
      <c r="M56" s="356" t="str">
        <v>FREI</v>
      </c>
      <c r="N56" s="357">
        <v>0</v>
      </c>
      <c r="O56" s="344">
        <f t="shared" si="15"/>
        <v>44457</v>
      </c>
      <c r="P56" s="345">
        <v>80</v>
      </c>
      <c r="Q56" s="346" t="str">
        <f t="shared" si="21"/>
        <v>Fr</v>
      </c>
      <c r="R56" s="350" t="str">
        <v/>
      </c>
      <c r="S56" s="356" t="str">
        <v>FREI</v>
      </c>
      <c r="T56" s="357">
        <v>0</v>
      </c>
      <c r="U56" s="344">
        <f t="shared" si="16"/>
        <v>44487</v>
      </c>
      <c r="V56" s="345">
        <v>80</v>
      </c>
      <c r="W56" s="346" t="str">
        <f t="shared" si="22"/>
        <v>So</v>
      </c>
      <c r="X56" s="350" t="str">
        <v/>
      </c>
      <c r="Y56" s="356">
        <v>0</v>
      </c>
      <c r="Z56" s="357">
        <v>0</v>
      </c>
      <c r="AA56" s="344">
        <f t="shared" si="17"/>
        <v>44518</v>
      </c>
      <c r="AB56" s="345">
        <v>80</v>
      </c>
      <c r="AC56" s="346" t="str">
        <f t="shared" si="23"/>
        <v>Mi</v>
      </c>
      <c r="AD56" s="350" t="str">
        <v/>
      </c>
      <c r="AE56" s="356" t="str">
        <v>FREI</v>
      </c>
      <c r="AF56" s="357">
        <v>0</v>
      </c>
      <c r="AG56" s="344">
        <f t="shared" si="18"/>
        <v>44548</v>
      </c>
      <c r="AH56" s="345">
        <v>80</v>
      </c>
      <c r="AI56" s="346" t="str">
        <f t="shared" si="24"/>
        <v>Fr</v>
      </c>
      <c r="AJ56" s="350" t="str">
        <v/>
      </c>
      <c r="AK56" s="356" t="str">
        <v>FREI</v>
      </c>
      <c r="AL56" s="357">
        <v>0</v>
      </c>
    </row>
    <row r="57" spans="2:38" x14ac:dyDescent="0.2">
      <c r="B57" s="343">
        <v>20</v>
      </c>
      <c r="C57" s="344">
        <f t="shared" si="13"/>
        <v>44396</v>
      </c>
      <c r="D57" s="345">
        <v>80</v>
      </c>
      <c r="E57" s="346" t="str">
        <f t="shared" si="19"/>
        <v>So</v>
      </c>
      <c r="F57" s="387" t="str">
        <v/>
      </c>
      <c r="G57" s="356">
        <v>0</v>
      </c>
      <c r="H57" s="357">
        <v>0</v>
      </c>
      <c r="I57" s="344">
        <f t="shared" si="14"/>
        <v>44427</v>
      </c>
      <c r="J57" s="345">
        <v>80</v>
      </c>
      <c r="K57" s="346" t="str">
        <f t="shared" si="20"/>
        <v>Mi</v>
      </c>
      <c r="L57" s="350" t="str">
        <v/>
      </c>
      <c r="M57" s="356" t="str">
        <v>FREI</v>
      </c>
      <c r="N57" s="357">
        <v>0</v>
      </c>
      <c r="O57" s="344">
        <f t="shared" si="15"/>
        <v>44458</v>
      </c>
      <c r="P57" s="345">
        <v>80</v>
      </c>
      <c r="Q57" s="346" t="str">
        <f t="shared" si="21"/>
        <v>Sa</v>
      </c>
      <c r="R57" s="350" t="str">
        <v/>
      </c>
      <c r="S57" s="356">
        <v>0</v>
      </c>
      <c r="T57" s="357">
        <v>0</v>
      </c>
      <c r="U57" s="344">
        <f t="shared" si="16"/>
        <v>44488</v>
      </c>
      <c r="V57" s="345">
        <v>80</v>
      </c>
      <c r="W57" s="346" t="str">
        <f t="shared" si="22"/>
        <v>Mo</v>
      </c>
      <c r="X57" s="350" t="str">
        <v/>
      </c>
      <c r="Y57" s="356" t="str">
        <v>FREI</v>
      </c>
      <c r="Z57" s="357">
        <v>0</v>
      </c>
      <c r="AA57" s="344">
        <f t="shared" si="17"/>
        <v>44519</v>
      </c>
      <c r="AB57" s="345">
        <v>80</v>
      </c>
      <c r="AC57" s="346" t="str">
        <f t="shared" si="23"/>
        <v>Do</v>
      </c>
      <c r="AD57" s="350" t="str">
        <v/>
      </c>
      <c r="AE57" s="356" t="str">
        <v>FREI</v>
      </c>
      <c r="AF57" s="357">
        <v>0</v>
      </c>
      <c r="AG57" s="344">
        <f t="shared" si="18"/>
        <v>44549</v>
      </c>
      <c r="AH57" s="345">
        <v>80</v>
      </c>
      <c r="AI57" s="346" t="str">
        <f t="shared" si="24"/>
        <v>Sa</v>
      </c>
      <c r="AJ57" s="350" t="str">
        <v/>
      </c>
      <c r="AK57" s="356">
        <v>0</v>
      </c>
      <c r="AL57" s="357">
        <v>0</v>
      </c>
    </row>
    <row r="58" spans="2:38" x14ac:dyDescent="0.2">
      <c r="B58" s="343">
        <v>21</v>
      </c>
      <c r="C58" s="344">
        <f t="shared" si="13"/>
        <v>44397</v>
      </c>
      <c r="D58" s="345">
        <v>80</v>
      </c>
      <c r="E58" s="346" t="str">
        <f t="shared" si="19"/>
        <v>Mo</v>
      </c>
      <c r="F58" s="387" t="str">
        <v/>
      </c>
      <c r="G58" s="356" t="str">
        <v>FREI</v>
      </c>
      <c r="H58" s="357">
        <v>0</v>
      </c>
      <c r="I58" s="344">
        <f t="shared" si="14"/>
        <v>44428</v>
      </c>
      <c r="J58" s="345">
        <v>80</v>
      </c>
      <c r="K58" s="346" t="str">
        <f t="shared" si="20"/>
        <v>Do</v>
      </c>
      <c r="L58" s="350" t="str">
        <v/>
      </c>
      <c r="M58" s="356" t="str">
        <v>FREI</v>
      </c>
      <c r="N58" s="357">
        <v>0</v>
      </c>
      <c r="O58" s="344">
        <f t="shared" si="15"/>
        <v>44459</v>
      </c>
      <c r="P58" s="345">
        <v>80</v>
      </c>
      <c r="Q58" s="346" t="str">
        <f t="shared" si="21"/>
        <v>So</v>
      </c>
      <c r="R58" s="350" t="str">
        <v/>
      </c>
      <c r="S58" s="356">
        <v>0</v>
      </c>
      <c r="T58" s="357">
        <v>0</v>
      </c>
      <c r="U58" s="344">
        <f t="shared" si="16"/>
        <v>44489</v>
      </c>
      <c r="V58" s="345">
        <v>80</v>
      </c>
      <c r="W58" s="346" t="str">
        <f t="shared" si="22"/>
        <v>Di</v>
      </c>
      <c r="X58" s="350" t="str">
        <v/>
      </c>
      <c r="Y58" s="356" t="str">
        <v>FREI</v>
      </c>
      <c r="Z58" s="357">
        <v>0</v>
      </c>
      <c r="AA58" s="344">
        <f t="shared" si="17"/>
        <v>44520</v>
      </c>
      <c r="AB58" s="345">
        <v>80</v>
      </c>
      <c r="AC58" s="346" t="str">
        <f t="shared" si="23"/>
        <v>Fr</v>
      </c>
      <c r="AD58" s="350" t="str">
        <v/>
      </c>
      <c r="AE58" s="356" t="str">
        <v>FREI</v>
      </c>
      <c r="AF58" s="357">
        <v>0</v>
      </c>
      <c r="AG58" s="344">
        <f t="shared" si="18"/>
        <v>44550</v>
      </c>
      <c r="AH58" s="345">
        <v>80</v>
      </c>
      <c r="AI58" s="346" t="str">
        <f t="shared" si="24"/>
        <v>So</v>
      </c>
      <c r="AJ58" s="350" t="str">
        <v/>
      </c>
      <c r="AK58" s="356">
        <v>0</v>
      </c>
      <c r="AL58" s="357">
        <v>0</v>
      </c>
    </row>
    <row r="59" spans="2:38" x14ac:dyDescent="0.2">
      <c r="B59" s="343">
        <v>22</v>
      </c>
      <c r="C59" s="344">
        <f t="shared" si="13"/>
        <v>44398</v>
      </c>
      <c r="D59" s="345">
        <v>80</v>
      </c>
      <c r="E59" s="346" t="str">
        <f t="shared" si="19"/>
        <v>Di</v>
      </c>
      <c r="F59" s="387" t="str">
        <v/>
      </c>
      <c r="G59" s="356" t="str">
        <v>FREI</v>
      </c>
      <c r="H59" s="357">
        <v>0</v>
      </c>
      <c r="I59" s="344">
        <f t="shared" si="14"/>
        <v>44429</v>
      </c>
      <c r="J59" s="345">
        <v>80</v>
      </c>
      <c r="K59" s="346" t="str">
        <f t="shared" si="20"/>
        <v>Fr</v>
      </c>
      <c r="L59" s="350" t="str">
        <v/>
      </c>
      <c r="M59" s="356" t="str">
        <v>FREI</v>
      </c>
      <c r="N59" s="357">
        <v>0</v>
      </c>
      <c r="O59" s="344">
        <f t="shared" si="15"/>
        <v>44460</v>
      </c>
      <c r="P59" s="345">
        <v>80</v>
      </c>
      <c r="Q59" s="346" t="str">
        <f t="shared" si="21"/>
        <v>Mo</v>
      </c>
      <c r="R59" s="350" t="str">
        <v/>
      </c>
      <c r="S59" s="356" t="str">
        <v>FREI</v>
      </c>
      <c r="T59" s="357">
        <v>0</v>
      </c>
      <c r="U59" s="344">
        <f t="shared" si="16"/>
        <v>44490</v>
      </c>
      <c r="V59" s="345">
        <v>80</v>
      </c>
      <c r="W59" s="346" t="str">
        <f t="shared" si="22"/>
        <v>Mi</v>
      </c>
      <c r="X59" s="350" t="str">
        <v/>
      </c>
      <c r="Y59" s="356" t="str">
        <v>FREI</v>
      </c>
      <c r="Z59" s="357">
        <v>0</v>
      </c>
      <c r="AA59" s="344">
        <f t="shared" si="17"/>
        <v>44521</v>
      </c>
      <c r="AB59" s="345">
        <v>80</v>
      </c>
      <c r="AC59" s="346" t="str">
        <f t="shared" si="23"/>
        <v>Sa</v>
      </c>
      <c r="AD59" s="350" t="str">
        <v/>
      </c>
      <c r="AE59" s="356">
        <v>0</v>
      </c>
      <c r="AF59" s="357">
        <v>0</v>
      </c>
      <c r="AG59" s="344">
        <f t="shared" si="18"/>
        <v>44551</v>
      </c>
      <c r="AH59" s="345">
        <v>80</v>
      </c>
      <c r="AI59" s="346" t="str">
        <f t="shared" si="24"/>
        <v>Mo</v>
      </c>
      <c r="AJ59" s="350" t="str">
        <v/>
      </c>
      <c r="AK59" s="356" t="str">
        <v>FREI</v>
      </c>
      <c r="AL59" s="357">
        <v>0</v>
      </c>
    </row>
    <row r="60" spans="2:38" x14ac:dyDescent="0.2">
      <c r="B60" s="343">
        <v>23</v>
      </c>
      <c r="C60" s="344">
        <f t="shared" si="13"/>
        <v>44399</v>
      </c>
      <c r="D60" s="345">
        <v>80</v>
      </c>
      <c r="E60" s="346" t="str">
        <f t="shared" si="19"/>
        <v>Mi</v>
      </c>
      <c r="F60" s="387" t="str">
        <v/>
      </c>
      <c r="G60" s="356" t="str">
        <v>FREI</v>
      </c>
      <c r="H60" s="357">
        <v>0</v>
      </c>
      <c r="I60" s="344">
        <f t="shared" si="14"/>
        <v>44430</v>
      </c>
      <c r="J60" s="345">
        <v>80</v>
      </c>
      <c r="K60" s="346" t="str">
        <f t="shared" si="20"/>
        <v>Sa</v>
      </c>
      <c r="L60" s="350" t="str">
        <v/>
      </c>
      <c r="M60" s="356">
        <v>0</v>
      </c>
      <c r="N60" s="357">
        <v>0</v>
      </c>
      <c r="O60" s="344">
        <f t="shared" si="15"/>
        <v>44461</v>
      </c>
      <c r="P60" s="345">
        <v>80</v>
      </c>
      <c r="Q60" s="346" t="str">
        <f t="shared" si="21"/>
        <v>Di</v>
      </c>
      <c r="R60" s="350" t="str">
        <v/>
      </c>
      <c r="S60" s="356" t="str">
        <v>FREI</v>
      </c>
      <c r="T60" s="357">
        <v>0</v>
      </c>
      <c r="U60" s="344">
        <f t="shared" si="16"/>
        <v>44491</v>
      </c>
      <c r="V60" s="345">
        <v>80</v>
      </c>
      <c r="W60" s="346" t="str">
        <f t="shared" si="22"/>
        <v>Do</v>
      </c>
      <c r="X60" s="350" t="str">
        <v/>
      </c>
      <c r="Y60" s="356" t="str">
        <v>FREI</v>
      </c>
      <c r="Z60" s="357">
        <v>0</v>
      </c>
      <c r="AA60" s="344">
        <f t="shared" si="17"/>
        <v>44522</v>
      </c>
      <c r="AB60" s="345">
        <v>80</v>
      </c>
      <c r="AC60" s="346" t="str">
        <f t="shared" si="23"/>
        <v>So</v>
      </c>
      <c r="AD60" s="350" t="str">
        <v/>
      </c>
      <c r="AE60" s="356">
        <v>0</v>
      </c>
      <c r="AF60" s="357">
        <v>0</v>
      </c>
      <c r="AG60" s="344">
        <f t="shared" si="18"/>
        <v>44552</v>
      </c>
      <c r="AH60" s="345">
        <v>80</v>
      </c>
      <c r="AI60" s="346" t="str">
        <f t="shared" si="24"/>
        <v>Di</v>
      </c>
      <c r="AJ60" s="350" t="str">
        <v/>
      </c>
      <c r="AK60" s="356" t="str">
        <v>FREI</v>
      </c>
      <c r="AL60" s="357">
        <v>0</v>
      </c>
    </row>
    <row r="61" spans="2:38" x14ac:dyDescent="0.2">
      <c r="B61" s="343">
        <v>24</v>
      </c>
      <c r="C61" s="344">
        <f t="shared" si="13"/>
        <v>44400</v>
      </c>
      <c r="D61" s="345">
        <v>80</v>
      </c>
      <c r="E61" s="346" t="str">
        <f t="shared" si="19"/>
        <v>Do</v>
      </c>
      <c r="F61" s="387" t="str">
        <v/>
      </c>
      <c r="G61" s="356" t="str">
        <v>FREI</v>
      </c>
      <c r="H61" s="357">
        <v>0</v>
      </c>
      <c r="I61" s="344">
        <f t="shared" si="14"/>
        <v>44431</v>
      </c>
      <c r="J61" s="345">
        <v>80</v>
      </c>
      <c r="K61" s="346" t="str">
        <f t="shared" si="20"/>
        <v>So</v>
      </c>
      <c r="L61" s="350" t="str">
        <v/>
      </c>
      <c r="M61" s="356">
        <v>0</v>
      </c>
      <c r="N61" s="357">
        <v>0</v>
      </c>
      <c r="O61" s="344">
        <f t="shared" si="15"/>
        <v>44462</v>
      </c>
      <c r="P61" s="345">
        <v>80</v>
      </c>
      <c r="Q61" s="346" t="str">
        <f t="shared" si="21"/>
        <v>Mi</v>
      </c>
      <c r="R61" s="350" t="str">
        <v/>
      </c>
      <c r="S61" s="356" t="str">
        <v>FREI</v>
      </c>
      <c r="T61" s="357">
        <v>0</v>
      </c>
      <c r="U61" s="344">
        <f t="shared" si="16"/>
        <v>44492</v>
      </c>
      <c r="V61" s="345">
        <v>80</v>
      </c>
      <c r="W61" s="346" t="str">
        <f t="shared" si="22"/>
        <v>Fr</v>
      </c>
      <c r="X61" s="350" t="str">
        <v/>
      </c>
      <c r="Y61" s="356" t="str">
        <v>FREI</v>
      </c>
      <c r="Z61" s="357">
        <v>0</v>
      </c>
      <c r="AA61" s="344">
        <f t="shared" si="17"/>
        <v>44523</v>
      </c>
      <c r="AB61" s="345">
        <v>80</v>
      </c>
      <c r="AC61" s="346" t="str">
        <f t="shared" si="23"/>
        <v>Mo</v>
      </c>
      <c r="AD61" s="350" t="str">
        <v/>
      </c>
      <c r="AE61" s="356" t="str">
        <v>FREI</v>
      </c>
      <c r="AF61" s="357">
        <v>0</v>
      </c>
      <c r="AG61" s="344">
        <f t="shared" si="18"/>
        <v>44553</v>
      </c>
      <c r="AH61" s="345">
        <v>80</v>
      </c>
      <c r="AI61" s="346" t="str">
        <f t="shared" si="24"/>
        <v>Mi</v>
      </c>
      <c r="AJ61" s="350" t="str">
        <v/>
      </c>
      <c r="AK61" s="356" t="str">
        <v>FREI</v>
      </c>
      <c r="AL61" s="357">
        <v>0</v>
      </c>
    </row>
    <row r="62" spans="2:38" x14ac:dyDescent="0.2">
      <c r="B62" s="343">
        <v>25</v>
      </c>
      <c r="C62" s="344">
        <f t="shared" si="13"/>
        <v>44401</v>
      </c>
      <c r="D62" s="345">
        <v>80</v>
      </c>
      <c r="E62" s="346" t="str">
        <f t="shared" si="19"/>
        <v>Fr</v>
      </c>
      <c r="F62" s="387" t="str">
        <v/>
      </c>
      <c r="G62" s="356" t="str">
        <v>FREI</v>
      </c>
      <c r="H62" s="357">
        <v>0</v>
      </c>
      <c r="I62" s="344">
        <f t="shared" si="14"/>
        <v>44432</v>
      </c>
      <c r="J62" s="345">
        <v>80</v>
      </c>
      <c r="K62" s="346" t="str">
        <f t="shared" si="20"/>
        <v>Mo</v>
      </c>
      <c r="L62" s="350" t="str">
        <v/>
      </c>
      <c r="M62" s="356" t="str">
        <v>FREI</v>
      </c>
      <c r="N62" s="357">
        <v>0</v>
      </c>
      <c r="O62" s="344">
        <f t="shared" si="15"/>
        <v>44463</v>
      </c>
      <c r="P62" s="345">
        <v>80</v>
      </c>
      <c r="Q62" s="346" t="str">
        <f t="shared" si="21"/>
        <v>Do</v>
      </c>
      <c r="R62" s="350" t="str">
        <v/>
      </c>
      <c r="S62" s="356" t="str">
        <v>FREI</v>
      </c>
      <c r="T62" s="357">
        <v>0</v>
      </c>
      <c r="U62" s="344">
        <f t="shared" si="16"/>
        <v>44493</v>
      </c>
      <c r="V62" s="345">
        <v>80</v>
      </c>
      <c r="W62" s="346" t="str">
        <f t="shared" si="22"/>
        <v>Sa</v>
      </c>
      <c r="X62" s="350" t="str">
        <v/>
      </c>
      <c r="Y62" s="356">
        <v>0</v>
      </c>
      <c r="Z62" s="357">
        <v>0</v>
      </c>
      <c r="AA62" s="344">
        <f t="shared" si="17"/>
        <v>44524</v>
      </c>
      <c r="AB62" s="345">
        <v>80</v>
      </c>
      <c r="AC62" s="346" t="str">
        <f t="shared" si="23"/>
        <v>Di</v>
      </c>
      <c r="AD62" s="350" t="str">
        <v/>
      </c>
      <c r="AE62" s="356" t="str">
        <v>FREI</v>
      </c>
      <c r="AF62" s="357">
        <v>0</v>
      </c>
      <c r="AG62" s="344">
        <f t="shared" si="18"/>
        <v>44554</v>
      </c>
      <c r="AH62" s="345">
        <v>80</v>
      </c>
      <c r="AI62" s="346" t="str">
        <f t="shared" si="24"/>
        <v>Do</v>
      </c>
      <c r="AJ62" s="350" t="str">
        <v/>
      </c>
      <c r="AK62" s="356">
        <v>0</v>
      </c>
      <c r="AL62" s="357">
        <v>0</v>
      </c>
    </row>
    <row r="63" spans="2:38" x14ac:dyDescent="0.2">
      <c r="B63" s="343">
        <v>26</v>
      </c>
      <c r="C63" s="344">
        <f t="shared" si="13"/>
        <v>44402</v>
      </c>
      <c r="D63" s="345">
        <v>80</v>
      </c>
      <c r="E63" s="346" t="str">
        <f t="shared" si="19"/>
        <v>Sa</v>
      </c>
      <c r="F63" s="387" t="str">
        <v/>
      </c>
      <c r="G63" s="356">
        <v>0</v>
      </c>
      <c r="H63" s="357">
        <v>0</v>
      </c>
      <c r="I63" s="344">
        <f t="shared" si="14"/>
        <v>44433</v>
      </c>
      <c r="J63" s="345">
        <v>80</v>
      </c>
      <c r="K63" s="346" t="str">
        <f t="shared" si="20"/>
        <v>Di</v>
      </c>
      <c r="L63" s="350" t="str">
        <v/>
      </c>
      <c r="M63" s="356" t="str">
        <v>FREI</v>
      </c>
      <c r="N63" s="357">
        <v>0</v>
      </c>
      <c r="O63" s="344">
        <f t="shared" si="15"/>
        <v>44464</v>
      </c>
      <c r="P63" s="345">
        <v>80</v>
      </c>
      <c r="Q63" s="346" t="str">
        <f t="shared" si="21"/>
        <v>Fr</v>
      </c>
      <c r="R63" s="350" t="str">
        <v/>
      </c>
      <c r="S63" s="356" t="str">
        <v>FREI</v>
      </c>
      <c r="T63" s="357">
        <v>0</v>
      </c>
      <c r="U63" s="344">
        <f t="shared" si="16"/>
        <v>44494</v>
      </c>
      <c r="V63" s="345">
        <v>80</v>
      </c>
      <c r="W63" s="346" t="str">
        <f t="shared" si="22"/>
        <v>So</v>
      </c>
      <c r="X63" s="350" t="str">
        <v/>
      </c>
      <c r="Y63" s="356">
        <v>0</v>
      </c>
      <c r="Z63" s="357">
        <v>0</v>
      </c>
      <c r="AA63" s="344">
        <f t="shared" si="17"/>
        <v>44525</v>
      </c>
      <c r="AB63" s="345">
        <v>80</v>
      </c>
      <c r="AC63" s="346" t="str">
        <f t="shared" si="23"/>
        <v>Mi</v>
      </c>
      <c r="AD63" s="350" t="str">
        <v/>
      </c>
      <c r="AE63" s="356" t="str">
        <v>FREI</v>
      </c>
      <c r="AF63" s="357">
        <v>0</v>
      </c>
      <c r="AG63" s="344">
        <f t="shared" si="18"/>
        <v>44555</v>
      </c>
      <c r="AH63" s="345">
        <v>80</v>
      </c>
      <c r="AI63" s="346" t="str">
        <f t="shared" si="24"/>
        <v>Fr</v>
      </c>
      <c r="AJ63" s="350" t="str">
        <v/>
      </c>
      <c r="AK63" s="356">
        <v>0</v>
      </c>
      <c r="AL63" s="357">
        <v>0</v>
      </c>
    </row>
    <row r="64" spans="2:38" x14ac:dyDescent="0.2">
      <c r="B64" s="343">
        <v>27</v>
      </c>
      <c r="C64" s="344">
        <f t="shared" si="13"/>
        <v>44403</v>
      </c>
      <c r="D64" s="345">
        <v>80</v>
      </c>
      <c r="E64" s="346" t="str">
        <f t="shared" si="19"/>
        <v>So</v>
      </c>
      <c r="F64" s="387" t="str">
        <v/>
      </c>
      <c r="G64" s="356">
        <v>0</v>
      </c>
      <c r="H64" s="357">
        <v>0</v>
      </c>
      <c r="I64" s="344">
        <f t="shared" si="14"/>
        <v>44434</v>
      </c>
      <c r="J64" s="345">
        <v>80</v>
      </c>
      <c r="K64" s="346" t="str">
        <f t="shared" si="20"/>
        <v>Mi</v>
      </c>
      <c r="L64" s="350" t="str">
        <v/>
      </c>
      <c r="M64" s="356" t="str">
        <v>FREI</v>
      </c>
      <c r="N64" s="357">
        <v>0</v>
      </c>
      <c r="O64" s="344">
        <f t="shared" si="15"/>
        <v>44465</v>
      </c>
      <c r="P64" s="345">
        <v>80</v>
      </c>
      <c r="Q64" s="346" t="str">
        <f t="shared" si="21"/>
        <v>Sa</v>
      </c>
      <c r="R64" s="350" t="str">
        <v/>
      </c>
      <c r="S64" s="356">
        <v>0</v>
      </c>
      <c r="T64" s="357">
        <v>0</v>
      </c>
      <c r="U64" s="344">
        <f t="shared" si="16"/>
        <v>44495</v>
      </c>
      <c r="V64" s="345">
        <v>80</v>
      </c>
      <c r="W64" s="346" t="str">
        <f t="shared" si="22"/>
        <v>Mo</v>
      </c>
      <c r="X64" s="350" t="str">
        <v/>
      </c>
      <c r="Y64" s="356" t="str">
        <v>FREI</v>
      </c>
      <c r="Z64" s="357">
        <v>0</v>
      </c>
      <c r="AA64" s="344">
        <f t="shared" si="17"/>
        <v>44526</v>
      </c>
      <c r="AB64" s="345">
        <v>80</v>
      </c>
      <c r="AC64" s="346" t="str">
        <f t="shared" si="23"/>
        <v>Do</v>
      </c>
      <c r="AD64" s="350" t="str">
        <v/>
      </c>
      <c r="AE64" s="356" t="str">
        <v>FREI</v>
      </c>
      <c r="AF64" s="357">
        <v>0</v>
      </c>
      <c r="AG64" s="344">
        <f t="shared" si="18"/>
        <v>44556</v>
      </c>
      <c r="AH64" s="345">
        <v>80</v>
      </c>
      <c r="AI64" s="346" t="str">
        <f t="shared" si="24"/>
        <v>Sa</v>
      </c>
      <c r="AJ64" s="350" t="str">
        <v/>
      </c>
      <c r="AK64" s="356">
        <v>0</v>
      </c>
      <c r="AL64" s="357">
        <v>0</v>
      </c>
    </row>
    <row r="65" spans="2:38" x14ac:dyDescent="0.2">
      <c r="B65" s="343">
        <v>28</v>
      </c>
      <c r="C65" s="344">
        <f t="shared" si="13"/>
        <v>44404</v>
      </c>
      <c r="D65" s="345">
        <v>80</v>
      </c>
      <c r="E65" s="346" t="str">
        <f t="shared" si="19"/>
        <v>Mo</v>
      </c>
      <c r="F65" s="387" t="str">
        <v/>
      </c>
      <c r="G65" s="356" t="str">
        <v>FREI</v>
      </c>
      <c r="H65" s="357">
        <v>0</v>
      </c>
      <c r="I65" s="344">
        <f t="shared" si="14"/>
        <v>44435</v>
      </c>
      <c r="J65" s="345">
        <v>80</v>
      </c>
      <c r="K65" s="346" t="str">
        <f t="shared" si="20"/>
        <v>Do</v>
      </c>
      <c r="L65" s="350" t="str">
        <v/>
      </c>
      <c r="M65" s="356" t="str">
        <v>FREI</v>
      </c>
      <c r="N65" s="357">
        <v>0</v>
      </c>
      <c r="O65" s="344">
        <f t="shared" si="15"/>
        <v>44466</v>
      </c>
      <c r="P65" s="345">
        <v>80</v>
      </c>
      <c r="Q65" s="346" t="str">
        <f t="shared" si="21"/>
        <v>So</v>
      </c>
      <c r="R65" s="350" t="str">
        <v/>
      </c>
      <c r="S65" s="356">
        <v>0</v>
      </c>
      <c r="T65" s="357">
        <v>0</v>
      </c>
      <c r="U65" s="344">
        <f t="shared" si="16"/>
        <v>44496</v>
      </c>
      <c r="V65" s="345">
        <v>80</v>
      </c>
      <c r="W65" s="346" t="str">
        <f t="shared" si="22"/>
        <v>Di</v>
      </c>
      <c r="X65" s="350" t="str">
        <v/>
      </c>
      <c r="Y65" s="356" t="str">
        <v>FREI</v>
      </c>
      <c r="Z65" s="357">
        <v>0</v>
      </c>
      <c r="AA65" s="344">
        <f t="shared" si="17"/>
        <v>44527</v>
      </c>
      <c r="AB65" s="345">
        <v>80</v>
      </c>
      <c r="AC65" s="346" t="str">
        <f t="shared" si="23"/>
        <v>Fr</v>
      </c>
      <c r="AD65" s="350" t="str">
        <v/>
      </c>
      <c r="AE65" s="356" t="str">
        <v>FREI</v>
      </c>
      <c r="AF65" s="357">
        <v>0</v>
      </c>
      <c r="AG65" s="344">
        <f t="shared" si="18"/>
        <v>44557</v>
      </c>
      <c r="AH65" s="345">
        <v>80</v>
      </c>
      <c r="AI65" s="346" t="str">
        <f t="shared" si="24"/>
        <v>So</v>
      </c>
      <c r="AJ65" s="350" t="str">
        <v/>
      </c>
      <c r="AK65" s="356">
        <v>0</v>
      </c>
      <c r="AL65" s="357">
        <v>0</v>
      </c>
    </row>
    <row r="66" spans="2:38" x14ac:dyDescent="0.2">
      <c r="B66" s="343">
        <v>29</v>
      </c>
      <c r="C66" s="344">
        <f t="shared" si="13"/>
        <v>44405</v>
      </c>
      <c r="D66" s="345">
        <v>80</v>
      </c>
      <c r="E66" s="346" t="str">
        <f t="shared" si="19"/>
        <v>Di</v>
      </c>
      <c r="F66" s="387" t="str">
        <v/>
      </c>
      <c r="G66" s="356" t="str">
        <v>FREI</v>
      </c>
      <c r="H66" s="357">
        <v>0</v>
      </c>
      <c r="I66" s="344">
        <f t="shared" si="14"/>
        <v>44436</v>
      </c>
      <c r="J66" s="345">
        <v>80</v>
      </c>
      <c r="K66" s="346" t="str">
        <f t="shared" si="20"/>
        <v>Fr</v>
      </c>
      <c r="L66" s="350" t="str">
        <v/>
      </c>
      <c r="M66" s="356" t="str">
        <v>FREI</v>
      </c>
      <c r="N66" s="357">
        <v>0</v>
      </c>
      <c r="O66" s="344">
        <f t="shared" si="15"/>
        <v>44467</v>
      </c>
      <c r="P66" s="345">
        <v>80</v>
      </c>
      <c r="Q66" s="346" t="str">
        <f t="shared" si="21"/>
        <v>Mo</v>
      </c>
      <c r="R66" s="350" t="str">
        <v/>
      </c>
      <c r="S66" s="356" t="str">
        <v>FREI</v>
      </c>
      <c r="T66" s="357">
        <v>0</v>
      </c>
      <c r="U66" s="344">
        <f t="shared" si="16"/>
        <v>44497</v>
      </c>
      <c r="V66" s="345">
        <v>80</v>
      </c>
      <c r="W66" s="346" t="str">
        <f t="shared" si="22"/>
        <v>Mi</v>
      </c>
      <c r="X66" s="350" t="str">
        <v/>
      </c>
      <c r="Y66" s="356" t="str">
        <v>FREI</v>
      </c>
      <c r="Z66" s="357">
        <v>0</v>
      </c>
      <c r="AA66" s="344">
        <f t="shared" si="17"/>
        <v>44528</v>
      </c>
      <c r="AB66" s="345">
        <v>80</v>
      </c>
      <c r="AC66" s="346" t="str">
        <f t="shared" si="23"/>
        <v>Sa</v>
      </c>
      <c r="AD66" s="350" t="str">
        <v/>
      </c>
      <c r="AE66" s="356">
        <v>0</v>
      </c>
      <c r="AF66" s="357">
        <v>0</v>
      </c>
      <c r="AG66" s="344">
        <f t="shared" si="18"/>
        <v>44558</v>
      </c>
      <c r="AH66" s="345">
        <v>80</v>
      </c>
      <c r="AI66" s="346" t="str">
        <f t="shared" si="24"/>
        <v>Mo</v>
      </c>
      <c r="AJ66" s="350" t="str">
        <v/>
      </c>
      <c r="AK66" s="356" t="str">
        <v>FREI</v>
      </c>
      <c r="AL66" s="357">
        <v>0</v>
      </c>
    </row>
    <row r="67" spans="2:38" x14ac:dyDescent="0.2">
      <c r="B67" s="343">
        <v>30</v>
      </c>
      <c r="C67" s="344">
        <f t="shared" si="13"/>
        <v>44406</v>
      </c>
      <c r="D67" s="345">
        <v>80</v>
      </c>
      <c r="E67" s="346" t="str">
        <f t="shared" si="19"/>
        <v>Mi</v>
      </c>
      <c r="F67" s="387" t="str">
        <v/>
      </c>
      <c r="G67" s="356" t="str">
        <v>FREI</v>
      </c>
      <c r="H67" s="357">
        <v>0</v>
      </c>
      <c r="I67" s="344">
        <f t="shared" si="14"/>
        <v>44437</v>
      </c>
      <c r="J67" s="345">
        <v>80</v>
      </c>
      <c r="K67" s="346" t="str">
        <f t="shared" si="20"/>
        <v>Sa</v>
      </c>
      <c r="L67" s="350" t="str">
        <v/>
      </c>
      <c r="M67" s="356">
        <v>0</v>
      </c>
      <c r="N67" s="357">
        <v>0</v>
      </c>
      <c r="O67" s="344">
        <f t="shared" si="15"/>
        <v>44468</v>
      </c>
      <c r="P67" s="345">
        <v>80</v>
      </c>
      <c r="Q67" s="346" t="str">
        <f t="shared" si="21"/>
        <v>Di</v>
      </c>
      <c r="R67" s="350" t="str">
        <v/>
      </c>
      <c r="S67" s="356" t="str">
        <v>FREI</v>
      </c>
      <c r="T67" s="357">
        <v>0</v>
      </c>
      <c r="U67" s="344">
        <f t="shared" si="16"/>
        <v>44498</v>
      </c>
      <c r="V67" s="345">
        <v>80</v>
      </c>
      <c r="W67" s="346" t="str">
        <f t="shared" si="22"/>
        <v>Do</v>
      </c>
      <c r="X67" s="350" t="str">
        <v/>
      </c>
      <c r="Y67" s="356" t="str">
        <v>FREI</v>
      </c>
      <c r="Z67" s="357">
        <v>0</v>
      </c>
      <c r="AA67" s="344">
        <f t="shared" si="17"/>
        <v>44529</v>
      </c>
      <c r="AB67" s="345">
        <v>80</v>
      </c>
      <c r="AC67" s="346" t="str">
        <f t="shared" si="23"/>
        <v>So</v>
      </c>
      <c r="AD67" s="350" t="str">
        <v/>
      </c>
      <c r="AE67" s="356">
        <v>0</v>
      </c>
      <c r="AF67" s="357">
        <v>0</v>
      </c>
      <c r="AG67" s="344">
        <f t="shared" si="18"/>
        <v>44559</v>
      </c>
      <c r="AH67" s="345">
        <v>80</v>
      </c>
      <c r="AI67" s="346" t="str">
        <f t="shared" si="24"/>
        <v>Di</v>
      </c>
      <c r="AJ67" s="350" t="str">
        <v/>
      </c>
      <c r="AK67" s="356" t="str">
        <v>FREI</v>
      </c>
      <c r="AL67" s="357">
        <v>0</v>
      </c>
    </row>
    <row r="68" spans="2:38" x14ac:dyDescent="0.2">
      <c r="B68" s="343">
        <v>31</v>
      </c>
      <c r="C68" s="386">
        <f t="shared" si="13"/>
        <v>44407</v>
      </c>
      <c r="D68" s="380">
        <v>80</v>
      </c>
      <c r="E68" s="360" t="str">
        <f t="shared" si="19"/>
        <v>Do</v>
      </c>
      <c r="F68" s="388" t="str">
        <v/>
      </c>
      <c r="G68" s="356" t="str">
        <v>FREI</v>
      </c>
      <c r="H68" s="357">
        <v>0</v>
      </c>
      <c r="I68" s="386">
        <f t="shared" si="14"/>
        <v>44438</v>
      </c>
      <c r="J68" s="380">
        <v>80</v>
      </c>
      <c r="K68" s="360" t="str">
        <f t="shared" si="20"/>
        <v>So</v>
      </c>
      <c r="L68" s="382" t="str">
        <v/>
      </c>
      <c r="M68" s="356">
        <v>0</v>
      </c>
      <c r="N68" s="357">
        <v>0</v>
      </c>
      <c r="O68" s="383"/>
      <c r="P68" s="384">
        <v>0</v>
      </c>
      <c r="Q68" s="385"/>
      <c r="R68" s="377" t="str">
        <v/>
      </c>
      <c r="S68" s="378"/>
      <c r="T68" s="379"/>
      <c r="U68" s="375">
        <f t="shared" si="16"/>
        <v>44499</v>
      </c>
      <c r="V68" s="380">
        <v>80</v>
      </c>
      <c r="W68" s="360" t="str">
        <f t="shared" si="22"/>
        <v>Fr</v>
      </c>
      <c r="X68" s="382" t="str">
        <v/>
      </c>
      <c r="Y68" s="356" t="str">
        <v>FREI</v>
      </c>
      <c r="Z68" s="357">
        <v>0</v>
      </c>
      <c r="AA68" s="383"/>
      <c r="AB68" s="384">
        <v>0</v>
      </c>
      <c r="AC68" s="385"/>
      <c r="AD68" s="377" t="str">
        <v/>
      </c>
      <c r="AE68" s="378"/>
      <c r="AF68" s="379"/>
      <c r="AG68" s="375">
        <f t="shared" si="18"/>
        <v>44560</v>
      </c>
      <c r="AH68" s="380">
        <v>80</v>
      </c>
      <c r="AI68" s="360" t="str">
        <f t="shared" si="24"/>
        <v>Mi</v>
      </c>
      <c r="AJ68" s="382" t="str">
        <v/>
      </c>
      <c r="AK68" s="356" t="str">
        <v>FREI</v>
      </c>
      <c r="AL68" s="357">
        <v>0</v>
      </c>
    </row>
  </sheetData>
  <sheetProtection algorithmName="SHA-512" hashValue="7QnTQg2Y9wtx4FMZtxB8d/B8CpNfeRnhImA+xJ1dWhYH24qOzCCNQ0gYbVcF1jGHobPyuIes0PHJxzaFbPj9Ig==" saltValue="SJ6NmOn5bvb8oC2xCIcLqQ==" spinCount="100000" sheet="1" objects="1" scenarios="1"/>
  <mergeCells count="23">
    <mergeCell ref="AO11:AQ11"/>
    <mergeCell ref="AO21:AQ22"/>
    <mergeCell ref="AO13:AQ13"/>
    <mergeCell ref="AO12:AQ12"/>
    <mergeCell ref="AR21:AR22"/>
    <mergeCell ref="AO16:AQ16"/>
    <mergeCell ref="AO15:AQ15"/>
    <mergeCell ref="C37:H37"/>
    <mergeCell ref="I37:N37"/>
    <mergeCell ref="O37:T37"/>
    <mergeCell ref="AG37:AL37"/>
    <mergeCell ref="AA37:AF37"/>
    <mergeCell ref="U37:Z37"/>
    <mergeCell ref="E4:H4"/>
    <mergeCell ref="I4:N4"/>
    <mergeCell ref="O4:T4"/>
    <mergeCell ref="AO10:AQ10"/>
    <mergeCell ref="AO9:AQ9"/>
    <mergeCell ref="AO5:AQ5"/>
    <mergeCell ref="AO6:AQ6"/>
    <mergeCell ref="U4:Z4"/>
    <mergeCell ref="AA4:AF4"/>
    <mergeCell ref="AG4:AL4"/>
  </mergeCells>
  <phoneticPr fontId="4" type="noConversion"/>
  <conditionalFormatting sqref="C5:E35">
    <cfRule type="expression" dxfId="33" priority="13">
      <formula>OR(WEEKDAY($C5,2)=7,IF(ISERROR(VLOOKUP($C5,Feiertagsanspruch,1,FALSE)),0,VLOOKUP($C5,Feiertagsanspruch,1,FALSE)))</formula>
    </cfRule>
  </conditionalFormatting>
  <conditionalFormatting sqref="C38:E68">
    <cfRule type="expression" dxfId="32" priority="22">
      <formula>OR(WEEKDAY($C38,2)=7,IF(ISERROR(VLOOKUP($C38,Feiertagsanspruch,1,FALSE)),0,VLOOKUP($C38,Feiertagsanspruch,1,FALSE)))</formula>
    </cfRule>
  </conditionalFormatting>
  <conditionalFormatting sqref="G5:H35 M5:N35 S5:T35 Y5:Z35 AE5:AF35 AK5:AL35 G38:H68 M38:N68 S38:T68 Y38:Z68 AE38:AF68 AK38:AL68">
    <cfRule type="containsText" dxfId="31" priority="42" operator="containsText" text="F">
      <formula>NOT(ISERROR(SEARCH("F",G5)))</formula>
    </cfRule>
    <cfRule type="containsText" dxfId="30" priority="25" operator="containsText" text="MU">
      <formula>NOT(ISERROR(SEARCH("MU",G5)))</formula>
    </cfRule>
    <cfRule type="containsText" dxfId="29" priority="29" operator="containsText" text="FREI">
      <formula>NOT(ISERROR(SEARCH("FREI",G5)))</formula>
    </cfRule>
    <cfRule type="containsText" dxfId="28" priority="37" operator="containsText" text="TRP">
      <formula>NOT(ISERROR(SEARCH("TRP",G5)))</formula>
    </cfRule>
    <cfRule type="containsText" dxfId="27" priority="38" operator="containsText" text="MI">
      <formula>NOT(ISERROR(SEARCH("MI",G5)))</formula>
    </cfRule>
    <cfRule type="containsText" dxfId="26" priority="39" operator="containsText" text="WB">
      <formula>NOT(ISERROR(SEARCH("WB",G5)))</formula>
    </cfRule>
    <cfRule type="containsText" dxfId="25" priority="40" operator="containsText" text="KU">
      <formula>NOT(ISERROR(SEARCH("KU",G5)))</formula>
    </cfRule>
    <cfRule type="containsText" dxfId="24" priority="41" operator="containsText" text="K">
      <formula>NOT(ISERROR(SEARCH("K",G5)))</formula>
    </cfRule>
  </conditionalFormatting>
  <conditionalFormatting sqref="G5:H35">
    <cfRule type="expression" dxfId="23" priority="15">
      <formula>$D5=0</formula>
    </cfRule>
  </conditionalFormatting>
  <conditionalFormatting sqref="G38:H68">
    <cfRule type="expression" dxfId="22" priority="6">
      <formula>$D38=0</formula>
    </cfRule>
  </conditionalFormatting>
  <conditionalFormatting sqref="I38:K68">
    <cfRule type="expression" dxfId="21" priority="20">
      <formula>OR(WEEKDAY($I38,2)=7,IF(ISERROR(VLOOKUP($I38,Feiertagsanspruch,1,FALSE)),0,VLOOKUP($I38,Feiertagsanspruch,1,FALSE)))</formula>
    </cfRule>
  </conditionalFormatting>
  <conditionalFormatting sqref="K5:K35">
    <cfRule type="expression" dxfId="19" priority="30">
      <formula>OR(WEEKDAY($I5,2)=7,IF(ISERROR(VLOOKUP($I5,Feiertagsanspruch,1,FALSE)),0,VLOOKUP($I5,Feiertagsanspruch,1,FALSE)))</formula>
    </cfRule>
  </conditionalFormatting>
  <conditionalFormatting sqref="M5:N33">
    <cfRule type="expression" dxfId="18" priority="11">
      <formula>$J5=0</formula>
    </cfRule>
  </conditionalFormatting>
  <conditionalFormatting sqref="M5:N35 G5:H35 S5:T35 Y5:Z35 AE5:AF35 AK5:AL35 G38:H68 M38:N68 S38:T68 Y38:Z68 AE38:AF68 AK38:AL68">
    <cfRule type="containsText" dxfId="17" priority="36" operator="containsText" text="LZK">
      <formula>NOT(ISERROR(SEARCH("LZK",G5)))</formula>
    </cfRule>
  </conditionalFormatting>
  <conditionalFormatting sqref="M38:N68">
    <cfRule type="expression" dxfId="16" priority="5">
      <formula>$J38=0</formula>
    </cfRule>
  </conditionalFormatting>
  <conditionalFormatting sqref="O38:Q68">
    <cfRule type="expression" dxfId="15" priority="19">
      <formula>OR(WEEKDAY($O38,2)=7,IF(ISERROR(VLOOKUP($O38,Feiertagsanspruch,1,FALSE)),0,VLOOKUP($O38,Feiertagsanspruch,1,FALSE)))</formula>
    </cfRule>
  </conditionalFormatting>
  <conditionalFormatting sqref="Q5:Q35">
    <cfRule type="expression" dxfId="14" priority="28">
      <formula>OR(WEEKDAY($O5,2)=7,IF(ISERROR(VLOOKUP($O5,Feiertagsanspruch,1,FALSE)),0,VLOOKUP($O5,Feiertagsanspruch,1,FALSE)))</formula>
    </cfRule>
  </conditionalFormatting>
  <conditionalFormatting sqref="S5:T35">
    <cfRule type="expression" dxfId="13" priority="10">
      <formula>$P5=0</formula>
    </cfRule>
  </conditionalFormatting>
  <conditionalFormatting sqref="S38:T68">
    <cfRule type="expression" dxfId="12" priority="4">
      <formula>$P38=0</formula>
    </cfRule>
  </conditionalFormatting>
  <conditionalFormatting sqref="U5:W35">
    <cfRule type="expression" dxfId="11" priority="27">
      <formula>OR(WEEKDAY($U5,2)=7,IF(ISERROR(VLOOKUP($U5,Feiertagsanspruch,1,FALSE)),0,VLOOKUP($U5,Feiertagsanspruch,1,FALSE)))</formula>
    </cfRule>
  </conditionalFormatting>
  <conditionalFormatting sqref="U38:W68">
    <cfRule type="expression" dxfId="10" priority="18">
      <formula>OR(WEEKDAY($U38,2)=7,IF(ISERROR(VLOOKUP($U38,Feiertagsanspruch,1,FALSE)),0,VLOOKUP($U38,Feiertagsanspruch,1,FALSE)))</formula>
    </cfRule>
  </conditionalFormatting>
  <conditionalFormatting sqref="Y5:Z35">
    <cfRule type="expression" dxfId="9" priority="9">
      <formula>$V5=0</formula>
    </cfRule>
  </conditionalFormatting>
  <conditionalFormatting sqref="Y38:Z68">
    <cfRule type="expression" dxfId="8" priority="3">
      <formula>$V38=0</formula>
    </cfRule>
  </conditionalFormatting>
  <conditionalFormatting sqref="AA5 AC5 AA6:AD35 AA38 AC38:AD38">
    <cfRule type="expression" dxfId="7" priority="23">
      <formula>OR(WEEKDAY($AA5,2)=7,IF(ISERROR(VLOOKUP($AA5,Feiertagsanspruch,1,FALSE)),0,VLOOKUP($AA5,Feiertagsanspruch,1,FALSE)))</formula>
    </cfRule>
  </conditionalFormatting>
  <conditionalFormatting sqref="AA38:AC68">
    <cfRule type="expression" dxfId="6" priority="21">
      <formula>OR(WEEKDAY($AA38,2)=7,IF(ISERROR(VLOOKUP($AA38,Feiertagsanspruch,1,FALSE)),0,VLOOKUP($AA38,Feiertagsanspruch,1,FALSE)))</formula>
    </cfRule>
  </conditionalFormatting>
  <conditionalFormatting sqref="AE5:AF35">
    <cfRule type="expression" dxfId="5" priority="8">
      <formula>$AB5=0</formula>
    </cfRule>
  </conditionalFormatting>
  <conditionalFormatting sqref="AE38:AF68">
    <cfRule type="expression" dxfId="4" priority="2">
      <formula>$AB38=0</formula>
    </cfRule>
  </conditionalFormatting>
  <conditionalFormatting sqref="AG5:AI35">
    <cfRule type="expression" dxfId="3" priority="26">
      <formula>OR(WEEKDAY($AG5,2)=7,IF(ISERROR(VLOOKUP($AG5,Feiertagsanspruch,1,FALSE)),0,VLOOKUP($AG5,Feiertagsanspruch,1,FALSE)))</formula>
    </cfRule>
  </conditionalFormatting>
  <conditionalFormatting sqref="AG38:AI68">
    <cfRule type="expression" dxfId="2" priority="17">
      <formula>OR(WEEKDAY($AG38,2)=7,IF(ISERROR(VLOOKUP($AG38,Feiertagsanspruch,1,FALSE)),0,VLOOKUP($AG38,Feiertagsanspruch,1,FALSE)))</formula>
    </cfRule>
  </conditionalFormatting>
  <conditionalFormatting sqref="AK5:AL34">
    <cfRule type="expression" dxfId="1" priority="7">
      <formula>$AH5=0</formula>
    </cfRule>
  </conditionalFormatting>
  <conditionalFormatting sqref="AK38:AL68">
    <cfRule type="expression" dxfId="0" priority="1">
      <formula>$AH38=0</formula>
    </cfRule>
  </conditionalFormatting>
  <pageMargins left="0.70866141732283472" right="0.70866141732283472" top="0.78740157480314965" bottom="0.78740157480314965" header="0.31496062992125984" footer="0.31496062992125984"/>
  <pageSetup paperSize="9" orientation="landscape"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expression" priority="35" id="{8241A223-E1B2-4233-BA1F-3B7F388C5E08}">
            <xm:f>Formeln!$B$11=0</xm:f>
            <x14:dxf>
              <fill>
                <patternFill>
                  <bgColor theme="1"/>
                </patternFill>
              </fill>
            </x14:dxf>
          </x14:cfRule>
          <xm:sqref>I33:N33</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9B3E7-D6A5-4221-A933-650803C054F1}">
  <sheetPr codeName="Tabelle9">
    <tabColor rgb="FFFFFFBE"/>
  </sheetPr>
  <dimension ref="A1:G56"/>
  <sheetViews>
    <sheetView showGridLines="0" showRowColHeaders="0" showZeros="0" showRuler="0" view="pageLayout" zoomScaleNormal="100" workbookViewId="0">
      <selection activeCell="E12" sqref="E12:G12"/>
    </sheetView>
  </sheetViews>
  <sheetFormatPr baseColWidth="10" defaultColWidth="11.42578125" defaultRowHeight="13.5" customHeight="1" x14ac:dyDescent="0.2"/>
  <cols>
    <col min="1" max="1" width="0.7109375" style="391" customWidth="1"/>
    <col min="2" max="2" width="32.42578125" style="391" customWidth="1"/>
    <col min="3" max="3" width="20.5703125" style="391" customWidth="1"/>
    <col min="4" max="4" width="6.28515625" style="391" customWidth="1"/>
    <col min="5" max="7" width="12" style="391" customWidth="1"/>
    <col min="8" max="8" width="2.28515625" style="391" customWidth="1"/>
    <col min="9" max="16384" width="11.42578125" style="391"/>
  </cols>
  <sheetData>
    <row r="1" spans="1:7" ht="13.5" customHeight="1" x14ac:dyDescent="0.2">
      <c r="A1" s="390"/>
      <c r="B1" s="390"/>
      <c r="C1" s="627" t="s">
        <v>16</v>
      </c>
      <c r="D1" s="628"/>
      <c r="E1" s="629"/>
      <c r="F1" s="629"/>
      <c r="G1" s="634">
        <f>Deckblatt!M2</f>
        <v>2025</v>
      </c>
    </row>
    <row r="2" spans="1:7" ht="13.5" customHeight="1" x14ac:dyDescent="0.2">
      <c r="A2" s="390"/>
      <c r="B2" s="390"/>
      <c r="C2" s="630"/>
      <c r="D2" s="631"/>
      <c r="E2" s="631"/>
      <c r="F2" s="631"/>
      <c r="G2" s="635"/>
    </row>
    <row r="4" spans="1:7" ht="13.5" customHeight="1" x14ac:dyDescent="0.2">
      <c r="E4" s="639" t="s">
        <v>46</v>
      </c>
      <c r="F4" s="639"/>
      <c r="G4" s="639"/>
    </row>
    <row r="5" spans="1:7" ht="13.5" customHeight="1" x14ac:dyDescent="0.2">
      <c r="G5" s="471" t="str">
        <f>Version</f>
        <v>v25/24.12.28zw</v>
      </c>
    </row>
    <row r="6" spans="1:7" ht="13.5" customHeight="1" x14ac:dyDescent="0.2">
      <c r="A6" s="391" t="e">
        <f>#REF!</f>
        <v>#REF!</v>
      </c>
    </row>
    <row r="7" spans="1:7" ht="6.75" customHeight="1" x14ac:dyDescent="0.2">
      <c r="A7" s="392"/>
      <c r="B7" s="392"/>
    </row>
    <row r="8" spans="1:7" ht="13.5" customHeight="1" x14ac:dyDescent="0.2">
      <c r="B8"/>
      <c r="C8" s="391" t="s">
        <v>121</v>
      </c>
      <c r="E8" s="637" t="str">
        <f>Deckblatt!D7</f>
        <v>Heinz Muster</v>
      </c>
      <c r="F8" s="637"/>
      <c r="G8" s="637"/>
    </row>
    <row r="9" spans="1:7" ht="13.5" customHeight="1" x14ac:dyDescent="0.2">
      <c r="B9"/>
      <c r="C9" s="391" t="s">
        <v>18</v>
      </c>
      <c r="E9" s="638" t="str">
        <f>Deckblatt!D6</f>
        <v>Musterhausen</v>
      </c>
      <c r="F9" s="638"/>
      <c r="G9" s="638"/>
    </row>
    <row r="10" spans="1:7" ht="13.5" customHeight="1" x14ac:dyDescent="0.2">
      <c r="B10" s="391" t="s">
        <v>115</v>
      </c>
      <c r="C10" s="391" t="s">
        <v>122</v>
      </c>
      <c r="E10" s="633">
        <f>JahresBG</f>
        <v>0.8</v>
      </c>
      <c r="F10" s="633"/>
      <c r="G10" s="633"/>
    </row>
    <row r="11" spans="1:7" ht="13.5" customHeight="1" x14ac:dyDescent="0.2">
      <c r="B11" s="391" t="s">
        <v>116</v>
      </c>
      <c r="C11" s="391" t="s">
        <v>19</v>
      </c>
      <c r="E11" s="632">
        <f>Deckblatt!D8</f>
        <v>1988</v>
      </c>
      <c r="F11" s="632"/>
      <c r="G11" s="632"/>
    </row>
    <row r="12" spans="1:7" ht="13.5" customHeight="1" x14ac:dyDescent="0.2">
      <c r="B12" s="391" t="s">
        <v>117</v>
      </c>
      <c r="C12" s="391" t="str">
        <f>"Eintrittsdatum wenn "&amp;Jahr &amp;":"</f>
        <v>Eintrittsdatum wenn 2025:</v>
      </c>
      <c r="E12" s="636"/>
      <c r="F12" s="636"/>
      <c r="G12" s="636"/>
    </row>
    <row r="13" spans="1:7" ht="13.5" customHeight="1" x14ac:dyDescent="0.2">
      <c r="B13" s="391" t="s">
        <v>118</v>
      </c>
      <c r="C13" s="391" t="str">
        <f>"Austrittsdatum wenn "&amp;Jahr &amp;":"</f>
        <v>Austrittsdatum wenn 2025:</v>
      </c>
      <c r="E13" s="636"/>
      <c r="F13" s="636"/>
      <c r="G13" s="636"/>
    </row>
    <row r="14" spans="1:7" ht="13.5" customHeight="1" x14ac:dyDescent="0.2">
      <c r="B14" s="391" t="s">
        <v>119</v>
      </c>
      <c r="C14" s="391" t="s">
        <v>41</v>
      </c>
      <c r="E14" s="624"/>
      <c r="F14" s="625"/>
      <c r="G14" s="625"/>
    </row>
    <row r="15" spans="1:7" ht="13.5" customHeight="1" x14ac:dyDescent="0.2">
      <c r="B15" s="391" t="s">
        <v>120</v>
      </c>
      <c r="F15" s="392"/>
    </row>
    <row r="16" spans="1:7" s="394" customFormat="1" ht="13.5" customHeight="1" x14ac:dyDescent="0.2">
      <c r="B16" s="395"/>
      <c r="C16" s="391"/>
      <c r="D16" s="391"/>
      <c r="E16" s="606">
        <f>Jahr</f>
        <v>2025</v>
      </c>
      <c r="F16" s="607"/>
      <c r="G16" s="608"/>
    </row>
    <row r="17" spans="1:7" ht="13.5" customHeight="1" x14ac:dyDescent="0.2">
      <c r="B17" s="396"/>
      <c r="C17" s="397"/>
      <c r="D17" s="397"/>
      <c r="E17" s="398" t="s">
        <v>20</v>
      </c>
      <c r="F17" s="398" t="s">
        <v>1</v>
      </c>
      <c r="G17" s="398" t="s">
        <v>6</v>
      </c>
    </row>
    <row r="18" spans="1:7" ht="18.600000000000001" customHeight="1" x14ac:dyDescent="0.2">
      <c r="B18" s="399" t="s">
        <v>193</v>
      </c>
      <c r="C18" s="390"/>
      <c r="D18" s="390"/>
      <c r="E18" s="626" t="s">
        <v>47</v>
      </c>
      <c r="F18" s="626"/>
      <c r="G18" s="626"/>
    </row>
    <row r="19" spans="1:7" ht="38.1" customHeight="1" x14ac:dyDescent="0.2">
      <c r="B19" s="400" t="s">
        <v>31</v>
      </c>
      <c r="C19" s="390"/>
      <c r="D19" s="390"/>
      <c r="E19" s="401" t="s">
        <v>48</v>
      </c>
      <c r="F19" s="402" t="s">
        <v>51</v>
      </c>
      <c r="G19" s="402" t="s">
        <v>52</v>
      </c>
    </row>
    <row r="20" spans="1:7" ht="19.5" customHeight="1" x14ac:dyDescent="0.2">
      <c r="B20" s="403" t="s">
        <v>32</v>
      </c>
      <c r="C20" s="404" t="s">
        <v>42</v>
      </c>
      <c r="D20" s="391">
        <f>G1-E11</f>
        <v>37</v>
      </c>
      <c r="E20" s="405">
        <f>TotalFerienanspruchinTagengemPensum</f>
        <v>25</v>
      </c>
      <c r="F20" s="406">
        <f>Deckblatt!I34</f>
        <v>0</v>
      </c>
      <c r="G20" s="407">
        <f>Deckblatt!L34</f>
        <v>25</v>
      </c>
    </row>
    <row r="21" spans="1:7" ht="29.25" customHeight="1" x14ac:dyDescent="0.2">
      <c r="B21" s="408" t="s">
        <v>33</v>
      </c>
      <c r="C21" s="409"/>
      <c r="D21" s="409"/>
      <c r="E21" s="410"/>
      <c r="F21" s="411"/>
      <c r="G21" s="527"/>
    </row>
    <row r="22" spans="1:7" ht="33.6" customHeight="1" x14ac:dyDescent="0.2">
      <c r="B22" s="412"/>
      <c r="C22" s="413"/>
      <c r="D22" s="413"/>
      <c r="E22" s="413"/>
      <c r="F22" s="414"/>
      <c r="G22" s="415" t="s">
        <v>53</v>
      </c>
    </row>
    <row r="23" spans="1:7" ht="6" customHeight="1" x14ac:dyDescent="0.2">
      <c r="B23" s="412"/>
      <c r="C23" s="412"/>
      <c r="D23" s="412"/>
      <c r="E23" s="416"/>
      <c r="F23" s="416"/>
      <c r="G23" s="417"/>
    </row>
    <row r="24" spans="1:7" s="394" customFormat="1" ht="14.25" customHeight="1" x14ac:dyDescent="0.2">
      <c r="B24" s="391"/>
      <c r="C24" s="391"/>
      <c r="D24" s="391"/>
      <c r="E24" s="606">
        <f>Jahr</f>
        <v>2025</v>
      </c>
      <c r="F24" s="607"/>
      <c r="G24" s="608"/>
    </row>
    <row r="25" spans="1:7" ht="27" customHeight="1" x14ac:dyDescent="0.2">
      <c r="A25" s="418"/>
      <c r="B25" s="419"/>
      <c r="C25" s="397"/>
      <c r="D25" s="420"/>
      <c r="E25" s="420" t="s">
        <v>20</v>
      </c>
      <c r="F25" s="421" t="s">
        <v>1</v>
      </c>
      <c r="G25" s="421" t="s">
        <v>194</v>
      </c>
    </row>
    <row r="26" spans="1:7" ht="13.5" customHeight="1" x14ac:dyDescent="0.2">
      <c r="A26" s="418"/>
      <c r="B26" s="422" t="s">
        <v>195</v>
      </c>
      <c r="C26" s="423" t="s">
        <v>43</v>
      </c>
      <c r="D26" s="424"/>
      <c r="E26" s="425"/>
      <c r="F26" s="426"/>
      <c r="G26" s="426"/>
    </row>
    <row r="27" spans="1:7" ht="13.5" customHeight="1" x14ac:dyDescent="0.2">
      <c r="A27" s="418"/>
      <c r="B27" s="391" t="str">
        <f>CONCATENATE("Reguläres Guthaben per 31.12.",Jahr-1)</f>
        <v>Reguläres Guthaben per 31.12.2024</v>
      </c>
      <c r="C27" s="393"/>
      <c r="D27" s="424"/>
      <c r="E27" s="506">
        <f>GuthLangzeitEndVorJahrinStunden</f>
        <v>0</v>
      </c>
      <c r="F27" s="425">
        <f>Zusammenzug!P38</f>
        <v>0</v>
      </c>
      <c r="G27" s="507">
        <f>E27-F27</f>
        <v>0</v>
      </c>
    </row>
    <row r="28" spans="1:7" ht="13.5" customHeight="1" x14ac:dyDescent="0.2">
      <c r="A28" s="418"/>
      <c r="B28" s="496" t="s">
        <v>34</v>
      </c>
      <c r="C28" s="611"/>
      <c r="D28" s="612"/>
      <c r="E28" s="427"/>
      <c r="F28" s="426"/>
      <c r="G28" s="425"/>
    </row>
    <row r="29" spans="1:7" ht="13.5" customHeight="1" x14ac:dyDescent="0.2">
      <c r="A29" s="418"/>
      <c r="C29" s="393"/>
      <c r="D29" s="424"/>
      <c r="E29" s="427"/>
      <c r="F29" s="426"/>
      <c r="G29" s="425"/>
    </row>
    <row r="30" spans="1:7" ht="13.5" customHeight="1" x14ac:dyDescent="0.2">
      <c r="A30" s="418"/>
      <c r="B30" s="391" t="str">
        <f>CONCATENATE("Gutschrift Treueprämie per ",Jahr)</f>
        <v>Gutschrift Treueprämie per 2025</v>
      </c>
      <c r="D30" s="428"/>
      <c r="E30" s="425">
        <f>GutschriftTreueprämie</f>
        <v>0</v>
      </c>
      <c r="F30" s="425">
        <f>Zusammenzug!P37</f>
        <v>0</v>
      </c>
      <c r="G30" s="507">
        <f>E30-F30</f>
        <v>0</v>
      </c>
    </row>
    <row r="31" spans="1:7" ht="12.75" customHeight="1" x14ac:dyDescent="0.2">
      <c r="A31" s="418"/>
      <c r="B31" s="496" t="s">
        <v>34</v>
      </c>
      <c r="C31" s="611"/>
      <c r="D31" s="612"/>
      <c r="E31" s="428"/>
      <c r="F31" s="425"/>
      <c r="G31" s="425"/>
    </row>
    <row r="32" spans="1:7" ht="12.75" customHeight="1" x14ac:dyDescent="0.2">
      <c r="A32" s="418"/>
      <c r="B32" s="404"/>
      <c r="D32" s="418"/>
      <c r="E32" s="428"/>
      <c r="F32" s="425"/>
      <c r="G32" s="425"/>
    </row>
    <row r="33" spans="1:7" ht="12.75" customHeight="1" x14ac:dyDescent="0.2">
      <c r="A33" s="418"/>
      <c r="B33" s="391" t="str">
        <f>CONCATENATE("Übertrag ausgew. Feriensaldo auf Langzeitkonto per 31.12.",Jahr)</f>
        <v>Übertrag ausgew. Feriensaldo auf Langzeitkonto per 31.12.2025</v>
      </c>
      <c r="C33" s="429"/>
      <c r="D33" s="430"/>
      <c r="E33" s="425">
        <f>G21*TaginSt*JahresBG</f>
        <v>0</v>
      </c>
      <c r="F33" s="425"/>
      <c r="G33" s="507">
        <f>E33</f>
        <v>0</v>
      </c>
    </row>
    <row r="34" spans="1:7" ht="18" customHeight="1" thickBot="1" x14ac:dyDescent="0.25">
      <c r="A34" s="418"/>
      <c r="B34" s="431" t="s">
        <v>6</v>
      </c>
      <c r="C34" s="432"/>
      <c r="D34" s="433"/>
      <c r="E34" s="434"/>
      <c r="F34" s="434"/>
      <c r="G34" s="508">
        <f>SUM(G26:G33)</f>
        <v>0</v>
      </c>
    </row>
    <row r="35" spans="1:7" ht="6" customHeight="1" thickTop="1" x14ac:dyDescent="0.2">
      <c r="F35" s="613"/>
      <c r="G35" s="614"/>
    </row>
    <row r="36" spans="1:7" ht="11.25" customHeight="1" x14ac:dyDescent="0.2">
      <c r="F36" s="606">
        <f>Jahr</f>
        <v>2025</v>
      </c>
      <c r="G36" s="615"/>
    </row>
    <row r="37" spans="1:7" ht="18.75" customHeight="1" x14ac:dyDescent="0.2">
      <c r="B37" s="435" t="s">
        <v>35</v>
      </c>
      <c r="C37" s="436"/>
      <c r="D37" s="436"/>
      <c r="E37" s="436"/>
      <c r="F37" s="616" t="s">
        <v>204</v>
      </c>
      <c r="G37" s="616" t="s">
        <v>110</v>
      </c>
    </row>
    <row r="38" spans="1:7" ht="13.5" customHeight="1" x14ac:dyDescent="0.2">
      <c r="B38" s="437" t="s">
        <v>36</v>
      </c>
      <c r="C38" s="438" t="s">
        <v>44</v>
      </c>
      <c r="D38" s="438"/>
      <c r="E38" s="439"/>
      <c r="F38" s="617"/>
      <c r="G38" s="617"/>
    </row>
    <row r="39" spans="1:7" ht="13.5" customHeight="1" x14ac:dyDescent="0.2">
      <c r="B39" s="440" t="s">
        <v>137</v>
      </c>
      <c r="C39" s="609"/>
      <c r="D39" s="609"/>
      <c r="E39" s="610"/>
      <c r="F39" s="509">
        <f>G39/JahresBG/TaginSt</f>
        <v>0</v>
      </c>
      <c r="G39" s="509">
        <f>Zusammenzug!P34</f>
        <v>0</v>
      </c>
    </row>
    <row r="40" spans="1:7" ht="13.5" customHeight="1" x14ac:dyDescent="0.2">
      <c r="B40" s="440" t="s">
        <v>138</v>
      </c>
      <c r="C40" s="609"/>
      <c r="D40" s="609"/>
      <c r="E40" s="610"/>
      <c r="F40" s="509">
        <f>G40/JahresBG/TaginSt</f>
        <v>0</v>
      </c>
      <c r="G40" s="509">
        <f>Zusammenzug!P35</f>
        <v>0</v>
      </c>
    </row>
    <row r="41" spans="1:7" ht="13.5" customHeight="1" x14ac:dyDescent="0.2">
      <c r="B41" s="440" t="s">
        <v>37</v>
      </c>
      <c r="C41" s="609"/>
      <c r="D41" s="609"/>
      <c r="E41" s="610"/>
      <c r="F41" s="509">
        <f t="shared" ref="F41:F44" si="0">G41/JahresBG/TaginSt</f>
        <v>0</v>
      </c>
      <c r="G41" s="509">
        <f>Zusammenzug!P32</f>
        <v>0</v>
      </c>
    </row>
    <row r="42" spans="1:7" ht="13.5" customHeight="1" x14ac:dyDescent="0.2">
      <c r="B42" s="440" t="s">
        <v>38</v>
      </c>
      <c r="C42" s="609"/>
      <c r="D42" s="609"/>
      <c r="E42" s="610"/>
      <c r="F42" s="509">
        <f t="shared" si="0"/>
        <v>0</v>
      </c>
      <c r="G42" s="509">
        <f>Zusammenzug!P33</f>
        <v>0</v>
      </c>
    </row>
    <row r="43" spans="1:7" ht="13.5" customHeight="1" x14ac:dyDescent="0.2">
      <c r="B43" s="440" t="s">
        <v>26</v>
      </c>
      <c r="C43" s="609"/>
      <c r="D43" s="609"/>
      <c r="E43" s="610"/>
      <c r="F43" s="509">
        <f t="shared" si="0"/>
        <v>0</v>
      </c>
      <c r="G43" s="509">
        <f>Zusammenzug!P36</f>
        <v>0</v>
      </c>
    </row>
    <row r="44" spans="1:7" ht="13.5" customHeight="1" x14ac:dyDescent="0.2">
      <c r="B44" s="441" t="s">
        <v>39</v>
      </c>
      <c r="C44" s="620"/>
      <c r="D44" s="620"/>
      <c r="E44" s="621"/>
      <c r="F44" s="509">
        <f t="shared" si="0"/>
        <v>0</v>
      </c>
      <c r="G44" s="511">
        <f>Zusammenzug!P31</f>
        <v>0</v>
      </c>
    </row>
    <row r="45" spans="1:7" ht="16.5" customHeight="1" thickBot="1" x14ac:dyDescent="0.25">
      <c r="A45" s="442"/>
      <c r="B45" s="443" t="s">
        <v>6</v>
      </c>
      <c r="C45" s="444"/>
      <c r="D45" s="444"/>
      <c r="E45" s="445"/>
      <c r="F45" s="510">
        <f>SUM(F39:F44)</f>
        <v>0</v>
      </c>
      <c r="G45" s="510">
        <f>SUM(G39:G44)</f>
        <v>0</v>
      </c>
    </row>
    <row r="46" spans="1:7" ht="14.25" customHeight="1" thickTop="1" x14ac:dyDescent="0.2">
      <c r="B46" s="442" t="s">
        <v>40</v>
      </c>
    </row>
    <row r="47" spans="1:7" ht="13.5" customHeight="1" x14ac:dyDescent="0.2">
      <c r="A47" s="390" t="s">
        <v>29</v>
      </c>
      <c r="B47" s="486"/>
    </row>
    <row r="48" spans="1:7" ht="6" customHeight="1" x14ac:dyDescent="0.2">
      <c r="A48" s="390"/>
      <c r="B48"/>
      <c r="C48"/>
      <c r="D48"/>
      <c r="E48"/>
      <c r="F48"/>
      <c r="G48"/>
    </row>
    <row r="50" spans="1:7" ht="13.5" customHeight="1" x14ac:dyDescent="0.2">
      <c r="A50" s="619"/>
      <c r="B50" s="619"/>
      <c r="E50" s="622"/>
      <c r="F50" s="622"/>
      <c r="G50" s="622"/>
    </row>
    <row r="51" spans="1:7" ht="12" customHeight="1" x14ac:dyDescent="0.2">
      <c r="A51" s="446" t="s">
        <v>21</v>
      </c>
      <c r="B51" s="447"/>
      <c r="C51" s="486"/>
      <c r="D51" s="486"/>
      <c r="E51" s="446" t="s">
        <v>49</v>
      </c>
      <c r="F51" s="500"/>
      <c r="G51" s="446"/>
    </row>
    <row r="53" spans="1:7" ht="13.5" customHeight="1" x14ac:dyDescent="0.2">
      <c r="A53" s="390" t="s">
        <v>30</v>
      </c>
      <c r="B53" s="486"/>
      <c r="C53"/>
      <c r="D53"/>
      <c r="E53"/>
      <c r="F53"/>
      <c r="G53"/>
    </row>
    <row r="54" spans="1:7" ht="13.5" customHeight="1" x14ac:dyDescent="0.2">
      <c r="A54" s="448"/>
      <c r="B54"/>
      <c r="C54"/>
      <c r="D54"/>
      <c r="E54"/>
      <c r="F54"/>
    </row>
    <row r="55" spans="1:7" ht="13.5" customHeight="1" x14ac:dyDescent="0.2">
      <c r="A55" s="618"/>
      <c r="B55" s="618"/>
      <c r="C55"/>
      <c r="D55"/>
      <c r="E55" s="623"/>
      <c r="F55" s="623"/>
      <c r="G55" s="623"/>
    </row>
    <row r="56" spans="1:7" ht="13.5" customHeight="1" x14ac:dyDescent="0.2">
      <c r="A56" s="446" t="s">
        <v>21</v>
      </c>
      <c r="B56" s="447"/>
      <c r="C56" s="449" t="s">
        <v>45</v>
      </c>
      <c r="D56" s="449"/>
      <c r="E56" s="449" t="s">
        <v>50</v>
      </c>
      <c r="F56" s="449"/>
      <c r="G56" s="449" t="s">
        <v>54</v>
      </c>
    </row>
  </sheetData>
  <sheetProtection algorithmName="SHA-512" hashValue="sdk6IvunGbEhiJWID85HfJbJinBwLFaF5SRQyBZSsfcEuB2uvaOj6v8bLZiH3eu9nYi2IkSpyHXKhJZSgwlJVw==" saltValue="QphUUw/JMBoxdtOVv0LLdA==" spinCount="100000" sheet="1" objects="1" scenarios="1"/>
  <mergeCells count="29">
    <mergeCell ref="E14:G14"/>
    <mergeCell ref="E16:G16"/>
    <mergeCell ref="E18:G18"/>
    <mergeCell ref="C1:F2"/>
    <mergeCell ref="E11:G11"/>
    <mergeCell ref="E10:G10"/>
    <mergeCell ref="G1:G2"/>
    <mergeCell ref="E13:G13"/>
    <mergeCell ref="E8:G8"/>
    <mergeCell ref="E9:G9"/>
    <mergeCell ref="E12:G12"/>
    <mergeCell ref="E4:G4"/>
    <mergeCell ref="A55:B55"/>
    <mergeCell ref="A50:B50"/>
    <mergeCell ref="C44:E44"/>
    <mergeCell ref="E50:G50"/>
    <mergeCell ref="E55:G55"/>
    <mergeCell ref="E24:G24"/>
    <mergeCell ref="C43:E43"/>
    <mergeCell ref="C42:E42"/>
    <mergeCell ref="C41:E41"/>
    <mergeCell ref="C40:E40"/>
    <mergeCell ref="C31:D31"/>
    <mergeCell ref="C28:D28"/>
    <mergeCell ref="C39:E39"/>
    <mergeCell ref="F35:G35"/>
    <mergeCell ref="F36:G36"/>
    <mergeCell ref="F37:F38"/>
    <mergeCell ref="G37:G38"/>
  </mergeCells>
  <pageMargins left="0.59055118110236227" right="0.19685039370078741" top="0.19685039370078741" bottom="0.39370078740157483" header="0.51181102362204722" footer="0.51181102362204722"/>
  <pageSetup paperSize="9" scale="98" orientation="portrait" r:id="rId1"/>
  <headerFooter alignWithMargins="0">
    <oddFooter>&amp;L&amp;8&amp;K000000Ausdruck vom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21C0-8B33-4B76-B259-D06431D6B610}">
  <sheetPr>
    <tabColor theme="1"/>
  </sheetPr>
  <dimension ref="B1:B121"/>
  <sheetViews>
    <sheetView showGridLines="0" showRowColHeaders="0" zoomScaleNormal="100" workbookViewId="0">
      <selection activeCell="B2" sqref="B2"/>
    </sheetView>
  </sheetViews>
  <sheetFormatPr baseColWidth="10" defaultColWidth="11.42578125" defaultRowHeight="12.75" x14ac:dyDescent="0.2"/>
  <cols>
    <col min="1" max="1" width="3.140625" customWidth="1"/>
    <col min="2" max="2" width="166.85546875" customWidth="1"/>
  </cols>
  <sheetData>
    <row r="1" spans="2:2" ht="14.25" x14ac:dyDescent="0.2">
      <c r="B1" s="450"/>
    </row>
    <row r="2" spans="2:2" ht="15.75" x14ac:dyDescent="0.25">
      <c r="B2" s="479" t="s">
        <v>281</v>
      </c>
    </row>
    <row r="3" spans="2:2" ht="15.75" thickBot="1" x14ac:dyDescent="0.3">
      <c r="B3" s="451"/>
    </row>
    <row r="4" spans="2:2" ht="15" x14ac:dyDescent="0.2">
      <c r="B4" s="463" t="s">
        <v>282</v>
      </c>
    </row>
    <row r="5" spans="2:2" ht="5.25" customHeight="1" x14ac:dyDescent="0.2">
      <c r="B5" s="465"/>
    </row>
    <row r="6" spans="2:2" ht="30" x14ac:dyDescent="0.2">
      <c r="B6" s="464" t="s">
        <v>283</v>
      </c>
    </row>
    <row r="7" spans="2:2" ht="57" x14ac:dyDescent="0.2">
      <c r="B7" s="465" t="s">
        <v>286</v>
      </c>
    </row>
    <row r="8" spans="2:2" ht="45" x14ac:dyDescent="0.2">
      <c r="B8" s="464" t="s">
        <v>284</v>
      </c>
    </row>
    <row r="9" spans="2:2" ht="14.25" x14ac:dyDescent="0.2">
      <c r="B9" s="466"/>
    </row>
    <row r="10" spans="2:2" ht="15" x14ac:dyDescent="0.2">
      <c r="B10" s="467" t="s">
        <v>287</v>
      </c>
    </row>
    <row r="11" spans="2:2" ht="57" x14ac:dyDescent="0.2">
      <c r="B11" s="468" t="s">
        <v>288</v>
      </c>
    </row>
    <row r="12" spans="2:2" ht="101.25" x14ac:dyDescent="0.2">
      <c r="B12" s="481" t="s">
        <v>289</v>
      </c>
    </row>
    <row r="13" spans="2:2" ht="58.5" x14ac:dyDescent="0.2">
      <c r="B13" s="482" t="s">
        <v>290</v>
      </c>
    </row>
    <row r="14" spans="2:2" ht="59.25" thickBot="1" x14ac:dyDescent="0.25">
      <c r="B14" s="483" t="s">
        <v>327</v>
      </c>
    </row>
    <row r="15" spans="2:2" ht="14.25" x14ac:dyDescent="0.2">
      <c r="B15" s="472"/>
    </row>
    <row r="16" spans="2:2" ht="15" thickBot="1" x14ac:dyDescent="0.25">
      <c r="B16" s="473"/>
    </row>
    <row r="17" spans="2:2" ht="15" x14ac:dyDescent="0.2">
      <c r="B17" s="474" t="s">
        <v>291</v>
      </c>
    </row>
    <row r="18" spans="2:2" ht="15" x14ac:dyDescent="0.2">
      <c r="B18" s="475" t="s">
        <v>292</v>
      </c>
    </row>
    <row r="19" spans="2:2" ht="15" x14ac:dyDescent="0.2">
      <c r="B19" s="464" t="s">
        <v>293</v>
      </c>
    </row>
    <row r="20" spans="2:2" ht="15" x14ac:dyDescent="0.2">
      <c r="B20" s="475" t="s">
        <v>294</v>
      </c>
    </row>
    <row r="21" spans="2:2" ht="14.25" x14ac:dyDescent="0.2">
      <c r="B21" s="476"/>
    </row>
    <row r="22" spans="2:2" ht="15" x14ac:dyDescent="0.2">
      <c r="B22" s="464" t="s">
        <v>297</v>
      </c>
    </row>
    <row r="23" spans="2:2" ht="57" x14ac:dyDescent="0.2">
      <c r="B23" s="465" t="s">
        <v>295</v>
      </c>
    </row>
    <row r="24" spans="2:2" ht="14.25" x14ac:dyDescent="0.2">
      <c r="B24" s="477"/>
    </row>
    <row r="25" spans="2:2" ht="15" x14ac:dyDescent="0.2">
      <c r="B25" s="475" t="s">
        <v>306</v>
      </c>
    </row>
    <row r="26" spans="2:2" ht="28.5" x14ac:dyDescent="0.2">
      <c r="B26" s="465" t="s">
        <v>296</v>
      </c>
    </row>
    <row r="27" spans="2:2" ht="14.25" x14ac:dyDescent="0.2">
      <c r="B27" s="466"/>
    </row>
    <row r="28" spans="2:2" ht="15" x14ac:dyDescent="0.2">
      <c r="B28" s="475" t="s">
        <v>307</v>
      </c>
    </row>
    <row r="29" spans="2:2" ht="28.5" x14ac:dyDescent="0.2">
      <c r="B29" s="465" t="s">
        <v>298</v>
      </c>
    </row>
    <row r="30" spans="2:2" ht="57" x14ac:dyDescent="0.2">
      <c r="B30" s="484" t="s">
        <v>299</v>
      </c>
    </row>
    <row r="31" spans="2:2" ht="10.5" customHeight="1" x14ac:dyDescent="0.2">
      <c r="B31" s="466"/>
    </row>
    <row r="32" spans="2:2" ht="15" x14ac:dyDescent="0.2">
      <c r="B32" s="466" t="s">
        <v>302</v>
      </c>
    </row>
    <row r="33" spans="2:2" ht="15" customHeight="1" x14ac:dyDescent="0.2">
      <c r="B33" s="466" t="s">
        <v>303</v>
      </c>
    </row>
    <row r="34" spans="2:2" ht="15" x14ac:dyDescent="0.2">
      <c r="B34" s="466" t="s">
        <v>301</v>
      </c>
    </row>
    <row r="35" spans="2:2" ht="14.25" x14ac:dyDescent="0.2">
      <c r="B35" s="466"/>
    </row>
    <row r="36" spans="2:2" ht="15" x14ac:dyDescent="0.2">
      <c r="B36" s="464" t="s">
        <v>308</v>
      </c>
    </row>
    <row r="37" spans="2:2" ht="29.25" thickBot="1" x14ac:dyDescent="0.25">
      <c r="B37" s="478" t="s">
        <v>304</v>
      </c>
    </row>
    <row r="38" spans="2:2" ht="14.25" x14ac:dyDescent="0.2">
      <c r="B38" s="450"/>
    </row>
    <row r="39" spans="2:2" ht="14.25" x14ac:dyDescent="0.2">
      <c r="B39" s="453" t="s">
        <v>276</v>
      </c>
    </row>
    <row r="40" spans="2:2" ht="15" customHeight="1" x14ac:dyDescent="0.2">
      <c r="B40" s="480" t="str">
        <f>Version</f>
        <v>v25/24.12.28zw</v>
      </c>
    </row>
    <row r="41" spans="2:2" ht="69" customHeight="1" x14ac:dyDescent="0.2">
      <c r="B41" s="452"/>
    </row>
    <row r="42" spans="2:2" ht="21" customHeight="1" x14ac:dyDescent="0.25">
      <c r="B42" s="454" t="s">
        <v>305</v>
      </c>
    </row>
    <row r="43" spans="2:2" ht="21" customHeight="1" x14ac:dyDescent="0.2">
      <c r="B43" s="452"/>
    </row>
    <row r="44" spans="2:2" ht="21" customHeight="1" x14ac:dyDescent="0.2">
      <c r="B44" s="455" t="s">
        <v>309</v>
      </c>
    </row>
    <row r="45" spans="2:2" ht="21" customHeight="1" x14ac:dyDescent="0.2">
      <c r="B45" s="456" t="s">
        <v>310</v>
      </c>
    </row>
    <row r="46" spans="2:2" ht="21" customHeight="1" x14ac:dyDescent="0.25">
      <c r="B46" s="485" t="s">
        <v>311</v>
      </c>
    </row>
    <row r="47" spans="2:2" ht="21" customHeight="1" x14ac:dyDescent="0.2">
      <c r="B47" s="452"/>
    </row>
    <row r="48" spans="2:2" ht="21" customHeight="1" x14ac:dyDescent="0.2">
      <c r="B48" s="456" t="s">
        <v>312</v>
      </c>
    </row>
    <row r="49" spans="2:2" ht="14.25" x14ac:dyDescent="0.2">
      <c r="B49" s="450"/>
    </row>
    <row r="50" spans="2:2" ht="14.25" x14ac:dyDescent="0.2">
      <c r="B50" s="450"/>
    </row>
    <row r="51" spans="2:2" ht="14.25" x14ac:dyDescent="0.2">
      <c r="B51" s="450"/>
    </row>
    <row r="52" spans="2:2" ht="14.25" x14ac:dyDescent="0.2">
      <c r="B52" s="450"/>
    </row>
    <row r="53" spans="2:2" ht="14.25" x14ac:dyDescent="0.2">
      <c r="B53" s="450"/>
    </row>
    <row r="54" spans="2:2" ht="14.25" x14ac:dyDescent="0.2">
      <c r="B54" s="452"/>
    </row>
    <row r="55" spans="2:2" ht="14.25" x14ac:dyDescent="0.2">
      <c r="B55" s="450"/>
    </row>
    <row r="56" spans="2:2" ht="14.25" x14ac:dyDescent="0.2">
      <c r="B56" s="450"/>
    </row>
    <row r="57" spans="2:2" ht="14.25" x14ac:dyDescent="0.2">
      <c r="B57" s="450"/>
    </row>
    <row r="58" spans="2:2" ht="14.25" x14ac:dyDescent="0.2">
      <c r="B58" s="450"/>
    </row>
    <row r="59" spans="2:2" ht="14.25" x14ac:dyDescent="0.2">
      <c r="B59" s="450"/>
    </row>
    <row r="60" spans="2:2" ht="14.25" x14ac:dyDescent="0.2">
      <c r="B60" s="450"/>
    </row>
    <row r="61" spans="2:2" ht="14.25" x14ac:dyDescent="0.2">
      <c r="B61" s="450"/>
    </row>
    <row r="62" spans="2:2" ht="21" customHeight="1" x14ac:dyDescent="0.25">
      <c r="B62" s="451" t="s">
        <v>313</v>
      </c>
    </row>
    <row r="63" spans="2:2" ht="21" customHeight="1" x14ac:dyDescent="0.2">
      <c r="B63" s="457" t="s">
        <v>314</v>
      </c>
    </row>
    <row r="64" spans="2:2" ht="28.5" x14ac:dyDescent="0.2">
      <c r="B64" s="457" t="s">
        <v>315</v>
      </c>
    </row>
    <row r="65" spans="2:2" ht="14.25" x14ac:dyDescent="0.2">
      <c r="B65" s="450"/>
    </row>
    <row r="66" spans="2:2" ht="14.25" x14ac:dyDescent="0.2">
      <c r="B66" s="450"/>
    </row>
    <row r="67" spans="2:2" ht="14.25" x14ac:dyDescent="0.2">
      <c r="B67" s="450"/>
    </row>
    <row r="68" spans="2:2" ht="14.25" x14ac:dyDescent="0.2">
      <c r="B68" s="450"/>
    </row>
    <row r="69" spans="2:2" ht="14.25" x14ac:dyDescent="0.2">
      <c r="B69" s="450"/>
    </row>
    <row r="70" spans="2:2" ht="14.25" x14ac:dyDescent="0.2">
      <c r="B70" s="450"/>
    </row>
    <row r="71" spans="2:2" ht="14.25" x14ac:dyDescent="0.2">
      <c r="B71" s="450"/>
    </row>
    <row r="72" spans="2:2" ht="14.25" x14ac:dyDescent="0.2">
      <c r="B72" s="450"/>
    </row>
    <row r="73" spans="2:2" ht="14.25" x14ac:dyDescent="0.2">
      <c r="B73" s="450"/>
    </row>
    <row r="74" spans="2:2" ht="14.25" x14ac:dyDescent="0.2">
      <c r="B74" s="450"/>
    </row>
    <row r="75" spans="2:2" ht="14.25" x14ac:dyDescent="0.2">
      <c r="B75" s="450"/>
    </row>
    <row r="76" spans="2:2" ht="14.25" x14ac:dyDescent="0.2">
      <c r="B76" s="450"/>
    </row>
    <row r="77" spans="2:2" ht="14.25" x14ac:dyDescent="0.2">
      <c r="B77" s="450"/>
    </row>
    <row r="78" spans="2:2" ht="14.25" x14ac:dyDescent="0.2">
      <c r="B78" s="450"/>
    </row>
    <row r="79" spans="2:2" ht="14.25" x14ac:dyDescent="0.2">
      <c r="B79" s="450"/>
    </row>
    <row r="80" spans="2:2" ht="14.25" x14ac:dyDescent="0.2">
      <c r="B80" s="450"/>
    </row>
    <row r="81" spans="2:2" ht="14.25" x14ac:dyDescent="0.2">
      <c r="B81" s="450"/>
    </row>
    <row r="82" spans="2:2" ht="14.25" x14ac:dyDescent="0.2">
      <c r="B82" s="450"/>
    </row>
    <row r="83" spans="2:2" ht="14.25" x14ac:dyDescent="0.2">
      <c r="B83" s="450"/>
    </row>
    <row r="84" spans="2:2" ht="15" x14ac:dyDescent="0.25">
      <c r="B84" s="451" t="s">
        <v>316</v>
      </c>
    </row>
    <row r="85" spans="2:2" ht="16.5" customHeight="1" x14ac:dyDescent="0.2">
      <c r="B85" s="450" t="s">
        <v>317</v>
      </c>
    </row>
    <row r="86" spans="2:2" ht="16.5" customHeight="1" x14ac:dyDescent="0.2">
      <c r="B86" s="450" t="s">
        <v>318</v>
      </c>
    </row>
    <row r="87" spans="2:2" ht="16.5" customHeight="1" x14ac:dyDescent="0.2">
      <c r="B87" s="450" t="s">
        <v>319</v>
      </c>
    </row>
    <row r="88" spans="2:2" ht="16.5" customHeight="1" x14ac:dyDescent="0.2">
      <c r="B88" s="450" t="s">
        <v>320</v>
      </c>
    </row>
    <row r="89" spans="2:2" ht="87.75" customHeight="1" x14ac:dyDescent="0.2">
      <c r="B89" s="450"/>
    </row>
    <row r="90" spans="2:2" ht="14.25" x14ac:dyDescent="0.2">
      <c r="B90" s="450"/>
    </row>
    <row r="91" spans="2:2" ht="15" x14ac:dyDescent="0.25">
      <c r="B91" s="451" t="s">
        <v>326</v>
      </c>
    </row>
    <row r="92" spans="2:2" ht="14.25" x14ac:dyDescent="0.2">
      <c r="B92" s="450" t="s">
        <v>321</v>
      </c>
    </row>
    <row r="93" spans="2:2" ht="14.25" x14ac:dyDescent="0.2">
      <c r="B93" s="450" t="s">
        <v>322</v>
      </c>
    </row>
    <row r="94" spans="2:2" ht="14.25" x14ac:dyDescent="0.2">
      <c r="B94" s="450" t="s">
        <v>323</v>
      </c>
    </row>
    <row r="95" spans="2:2" ht="14.25" x14ac:dyDescent="0.2">
      <c r="B95" s="450" t="s">
        <v>324</v>
      </c>
    </row>
    <row r="96" spans="2:2" ht="14.25" x14ac:dyDescent="0.2">
      <c r="B96" s="450"/>
    </row>
    <row r="97" spans="2:2" ht="14.25" x14ac:dyDescent="0.2">
      <c r="B97" s="450"/>
    </row>
    <row r="98" spans="2:2" ht="14.25" x14ac:dyDescent="0.2">
      <c r="B98" s="450"/>
    </row>
    <row r="99" spans="2:2" ht="14.25" x14ac:dyDescent="0.2">
      <c r="B99" s="450"/>
    </row>
    <row r="100" spans="2:2" ht="14.25" x14ac:dyDescent="0.2">
      <c r="B100" s="450"/>
    </row>
    <row r="101" spans="2:2" ht="14.25" x14ac:dyDescent="0.2">
      <c r="B101" s="450"/>
    </row>
    <row r="102" spans="2:2" ht="14.25" x14ac:dyDescent="0.2">
      <c r="B102" s="450"/>
    </row>
    <row r="103" spans="2:2" ht="14.25" x14ac:dyDescent="0.2">
      <c r="B103" s="450"/>
    </row>
    <row r="104" spans="2:2" ht="14.25" x14ac:dyDescent="0.2">
      <c r="B104" s="450"/>
    </row>
    <row r="105" spans="2:2" ht="14.25" x14ac:dyDescent="0.2">
      <c r="B105" s="450"/>
    </row>
    <row r="106" spans="2:2" ht="14.25" x14ac:dyDescent="0.2">
      <c r="B106" s="450"/>
    </row>
    <row r="107" spans="2:2" ht="14.25" x14ac:dyDescent="0.2">
      <c r="B107" s="450"/>
    </row>
    <row r="108" spans="2:2" ht="14.25" x14ac:dyDescent="0.2">
      <c r="B108" s="450"/>
    </row>
    <row r="109" spans="2:2" ht="14.25" x14ac:dyDescent="0.2">
      <c r="B109" s="450"/>
    </row>
    <row r="110" spans="2:2" ht="14.25" x14ac:dyDescent="0.2">
      <c r="B110" s="450"/>
    </row>
    <row r="111" spans="2:2" ht="14.25" x14ac:dyDescent="0.2">
      <c r="B111" s="450"/>
    </row>
    <row r="112" spans="2:2" ht="14.25" x14ac:dyDescent="0.2">
      <c r="B112" s="450"/>
    </row>
    <row r="113" spans="2:2" ht="14.25" x14ac:dyDescent="0.2">
      <c r="B113" s="450"/>
    </row>
    <row r="114" spans="2:2" ht="14.25" x14ac:dyDescent="0.2">
      <c r="B114" s="450"/>
    </row>
    <row r="115" spans="2:2" ht="14.25" x14ac:dyDescent="0.2">
      <c r="B115" s="450"/>
    </row>
    <row r="116" spans="2:2" ht="14.25" x14ac:dyDescent="0.2">
      <c r="B116" s="450"/>
    </row>
    <row r="117" spans="2:2" ht="14.25" x14ac:dyDescent="0.2">
      <c r="B117" s="450"/>
    </row>
    <row r="118" spans="2:2" ht="14.25" x14ac:dyDescent="0.2">
      <c r="B118" s="450"/>
    </row>
    <row r="119" spans="2:2" ht="14.25" x14ac:dyDescent="0.2">
      <c r="B119" s="450"/>
    </row>
    <row r="120" spans="2:2" ht="14.25" x14ac:dyDescent="0.2">
      <c r="B120" s="450"/>
    </row>
    <row r="121" spans="2:2" ht="14.25" x14ac:dyDescent="0.2">
      <c r="B121" s="450"/>
    </row>
  </sheetData>
  <sheetProtection algorithmName="SHA-512" hashValue="Mdpw5419a+4w7qswCfab8pmqNkRJsEimmgPuV25y4YznPXzTkkznoqqTWHPsH4Q0sG7bFY/GTXWqaymVqOdUVw==" saltValue="eppxDsaN9CqUCjo/F/WYZg==" spinCount="100000" sheet="1" objects="1" scenarios="1"/>
  <pageMargins left="0.70866141732283472" right="0.70866141732283472" top="0.78740157480314965" bottom="0.78740157480314965" header="0.31496062992125984" footer="0.31496062992125984"/>
  <pageSetup paperSize="9" scale="53" orientation="portrait" horizontalDpi="0" verticalDpi="0" r:id="rId1"/>
  <headerFooter>
    <oddFooter>&amp;LAusdruck vom &amp;D&amp;C&amp;A&amp;R&amp;P/&amp;N</oddFooter>
  </headerFooter>
  <rowBreaks count="1" manualBreakCount="1">
    <brk id="41" min="1" max="1"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A9D4-82C1-4D02-BB59-9152D3B21010}">
  <sheetPr>
    <tabColor rgb="FFFFFFBE"/>
  </sheetPr>
  <dimension ref="A1:G56"/>
  <sheetViews>
    <sheetView showGridLines="0" showRowColHeaders="0" showZeros="0" showRuler="0" view="pageLayout" zoomScaleNormal="100" workbookViewId="0">
      <selection activeCell="E12" sqref="E12:G12"/>
    </sheetView>
  </sheetViews>
  <sheetFormatPr baseColWidth="10" defaultColWidth="11.42578125" defaultRowHeight="13.5" customHeight="1" x14ac:dyDescent="0.2"/>
  <cols>
    <col min="1" max="1" width="0.7109375" style="391" customWidth="1"/>
    <col min="2" max="2" width="33.42578125" style="391" customWidth="1"/>
    <col min="3" max="3" width="19.5703125" style="391" customWidth="1"/>
    <col min="4" max="4" width="6" style="391" customWidth="1"/>
    <col min="5" max="7" width="12" style="391" customWidth="1"/>
    <col min="8" max="8" width="2.28515625" style="391" customWidth="1"/>
    <col min="9" max="16384" width="11.42578125" style="391"/>
  </cols>
  <sheetData>
    <row r="1" spans="1:7" ht="13.5" customHeight="1" x14ac:dyDescent="0.2">
      <c r="A1" s="390"/>
      <c r="B1" s="390"/>
      <c r="C1" s="627" t="s">
        <v>329</v>
      </c>
      <c r="D1" s="628"/>
      <c r="E1" s="629"/>
      <c r="F1" s="629"/>
      <c r="G1" s="634">
        <f>Deckblatt!M2</f>
        <v>2025</v>
      </c>
    </row>
    <row r="2" spans="1:7" ht="13.5" customHeight="1" x14ac:dyDescent="0.2">
      <c r="A2" s="390"/>
      <c r="B2" s="390"/>
      <c r="C2" s="630"/>
      <c r="D2" s="631"/>
      <c r="E2" s="631"/>
      <c r="F2" s="631"/>
      <c r="G2" s="635"/>
    </row>
    <row r="4" spans="1:7" ht="13.5" customHeight="1" x14ac:dyDescent="0.2">
      <c r="E4" s="639" t="s">
        <v>328</v>
      </c>
      <c r="F4" s="639"/>
      <c r="G4" s="639"/>
    </row>
    <row r="5" spans="1:7" ht="13.5" customHeight="1" x14ac:dyDescent="0.2">
      <c r="G5" s="471" t="str">
        <f>Version</f>
        <v>v25/24.12.28zw</v>
      </c>
    </row>
    <row r="6" spans="1:7" ht="13.5" customHeight="1" x14ac:dyDescent="0.2">
      <c r="A6" s="391" t="e">
        <f>#REF!</f>
        <v>#REF!</v>
      </c>
    </row>
    <row r="7" spans="1:7" ht="6.75" customHeight="1" x14ac:dyDescent="0.2">
      <c r="A7" s="392"/>
      <c r="B7" s="392"/>
    </row>
    <row r="8" spans="1:7" ht="13.5" customHeight="1" x14ac:dyDescent="0.2">
      <c r="B8"/>
      <c r="C8" s="486" t="s">
        <v>334</v>
      </c>
      <c r="E8" s="637" t="str">
        <f>Deckblatt!D7</f>
        <v>Heinz Muster</v>
      </c>
      <c r="F8" s="637"/>
      <c r="G8" s="637"/>
    </row>
    <row r="9" spans="1:7" ht="13.5" customHeight="1" x14ac:dyDescent="0.2">
      <c r="B9"/>
      <c r="C9" s="486" t="s">
        <v>335</v>
      </c>
      <c r="E9" s="638" t="str">
        <f>Deckblatt!D6</f>
        <v>Musterhausen</v>
      </c>
      <c r="F9" s="638"/>
      <c r="G9" s="638"/>
    </row>
    <row r="10" spans="1:7" ht="13.5" customHeight="1" x14ac:dyDescent="0.2">
      <c r="B10" s="391" t="s">
        <v>330</v>
      </c>
      <c r="C10" s="486" t="s">
        <v>336</v>
      </c>
      <c r="E10" s="633">
        <f>JahresBG</f>
        <v>0.8</v>
      </c>
      <c r="F10" s="633"/>
      <c r="G10" s="633"/>
    </row>
    <row r="11" spans="1:7" ht="13.5" customHeight="1" x14ac:dyDescent="0.2">
      <c r="B11" s="391" t="s">
        <v>116</v>
      </c>
      <c r="C11" s="486" t="s">
        <v>337</v>
      </c>
      <c r="E11" s="632">
        <f>Deckblatt!D8</f>
        <v>1988</v>
      </c>
      <c r="F11" s="632"/>
      <c r="G11" s="632"/>
    </row>
    <row r="12" spans="1:7" ht="13.5" customHeight="1" x14ac:dyDescent="0.2">
      <c r="B12" s="391" t="s">
        <v>331</v>
      </c>
      <c r="C12" s="391" t="str">
        <f>"Date d'entrée si "&amp;Jahr &amp;":"</f>
        <v>Date d'entrée si 2025:</v>
      </c>
      <c r="E12" s="636"/>
      <c r="F12" s="636"/>
      <c r="G12" s="636"/>
    </row>
    <row r="13" spans="1:7" ht="13.5" customHeight="1" x14ac:dyDescent="0.2">
      <c r="B13" s="391" t="s">
        <v>118</v>
      </c>
      <c r="C13" s="391" t="str">
        <f>"Date de sortie si "&amp;Jahr &amp;":"</f>
        <v>Date de sortie si 2025:</v>
      </c>
      <c r="E13" s="636"/>
      <c r="F13" s="636"/>
      <c r="G13" s="636"/>
    </row>
    <row r="14" spans="1:7" ht="13.5" customHeight="1" x14ac:dyDescent="0.2">
      <c r="B14" s="391" t="s">
        <v>332</v>
      </c>
      <c r="C14" s="486" t="s">
        <v>338</v>
      </c>
      <c r="E14" s="625"/>
      <c r="F14" s="625"/>
      <c r="G14" s="625"/>
    </row>
    <row r="15" spans="1:7" ht="13.5" customHeight="1" x14ac:dyDescent="0.2">
      <c r="B15" s="391" t="s">
        <v>333</v>
      </c>
      <c r="F15" s="392"/>
    </row>
    <row r="16" spans="1:7" s="394" customFormat="1" ht="13.5" customHeight="1" x14ac:dyDescent="0.2">
      <c r="B16" s="395"/>
      <c r="C16" s="391"/>
      <c r="D16" s="391"/>
      <c r="E16" s="606">
        <f>Jahr</f>
        <v>2025</v>
      </c>
      <c r="F16" s="607"/>
      <c r="G16" s="608"/>
    </row>
    <row r="17" spans="1:7" ht="13.5" customHeight="1" x14ac:dyDescent="0.2">
      <c r="B17" s="396"/>
      <c r="C17" s="397"/>
      <c r="D17" s="397"/>
      <c r="E17" s="487" t="s">
        <v>340</v>
      </c>
      <c r="F17" s="487" t="s">
        <v>341</v>
      </c>
      <c r="G17" s="487" t="s">
        <v>342</v>
      </c>
    </row>
    <row r="18" spans="1:7" ht="18.600000000000001" customHeight="1" x14ac:dyDescent="0.2">
      <c r="B18" s="399" t="s">
        <v>339</v>
      </c>
      <c r="C18" s="390"/>
      <c r="D18" s="390"/>
      <c r="E18" s="640" t="s">
        <v>343</v>
      </c>
      <c r="F18" s="640"/>
      <c r="G18" s="640"/>
    </row>
    <row r="19" spans="1:7" ht="38.1" customHeight="1" x14ac:dyDescent="0.2">
      <c r="B19" s="490" t="s">
        <v>348</v>
      </c>
      <c r="C19" s="390"/>
      <c r="D19" s="390"/>
      <c r="E19" s="488" t="s">
        <v>344</v>
      </c>
      <c r="F19" s="402" t="s">
        <v>346</v>
      </c>
      <c r="G19" s="402" t="s">
        <v>345</v>
      </c>
    </row>
    <row r="20" spans="1:7" ht="19.5" customHeight="1" x14ac:dyDescent="0.2">
      <c r="B20" s="403" t="s">
        <v>349</v>
      </c>
      <c r="C20" s="489" t="s">
        <v>347</v>
      </c>
      <c r="D20" s="391">
        <f>G1-E11</f>
        <v>37</v>
      </c>
      <c r="E20" s="405">
        <f>TotalFerienanspruchinTagengemPensum</f>
        <v>25</v>
      </c>
      <c r="F20" s="406">
        <f>Deckblatt!I34</f>
        <v>0</v>
      </c>
      <c r="G20" s="407">
        <f>Deckblatt!L34</f>
        <v>25</v>
      </c>
    </row>
    <row r="21" spans="1:7" ht="29.25" customHeight="1" x14ac:dyDescent="0.2">
      <c r="B21" s="408" t="s">
        <v>350</v>
      </c>
      <c r="C21" s="409"/>
      <c r="D21" s="409"/>
      <c r="E21" s="410"/>
      <c r="F21" s="411"/>
      <c r="G21" s="527"/>
    </row>
    <row r="22" spans="1:7" ht="33.6" customHeight="1" x14ac:dyDescent="0.2">
      <c r="B22" s="502"/>
      <c r="C22" s="491"/>
      <c r="D22" s="413"/>
      <c r="E22" s="413"/>
      <c r="F22" s="414"/>
      <c r="G22" s="492" t="s">
        <v>351</v>
      </c>
    </row>
    <row r="23" spans="1:7" ht="3" customHeight="1" x14ac:dyDescent="0.2">
      <c r="B23" s="412"/>
      <c r="C23" s="412"/>
      <c r="D23" s="412"/>
      <c r="E23" s="416"/>
      <c r="F23" s="416"/>
      <c r="G23" s="417"/>
    </row>
    <row r="24" spans="1:7" s="394" customFormat="1" ht="14.25" customHeight="1" x14ac:dyDescent="0.2">
      <c r="B24" s="391"/>
      <c r="C24" s="391"/>
      <c r="D24" s="391"/>
      <c r="E24" s="606">
        <f>Jahr</f>
        <v>2025</v>
      </c>
      <c r="F24" s="607"/>
      <c r="G24" s="608"/>
    </row>
    <row r="25" spans="1:7" ht="27" customHeight="1" x14ac:dyDescent="0.2">
      <c r="A25" s="418"/>
      <c r="B25" s="419"/>
      <c r="C25" s="397"/>
      <c r="D25" s="420"/>
      <c r="E25" s="493" t="s">
        <v>340</v>
      </c>
      <c r="F25" s="494" t="s">
        <v>341</v>
      </c>
      <c r="G25" s="421" t="s">
        <v>352</v>
      </c>
    </row>
    <row r="26" spans="1:7" ht="13.5" customHeight="1" x14ac:dyDescent="0.2">
      <c r="A26" s="418"/>
      <c r="B26" s="495" t="s">
        <v>354</v>
      </c>
      <c r="C26" s="423" t="s">
        <v>353</v>
      </c>
      <c r="D26" s="424"/>
      <c r="E26" s="425"/>
      <c r="F26" s="426"/>
      <c r="G26" s="426"/>
    </row>
    <row r="27" spans="1:7" ht="13.5" customHeight="1" x14ac:dyDescent="0.2">
      <c r="A27" s="418"/>
      <c r="B27" s="486" t="str">
        <f>CONCATENATE("Avoir au 31.12.",Jahr-1)</f>
        <v>Avoir au 31.12.2024</v>
      </c>
      <c r="C27" s="393"/>
      <c r="D27" s="424"/>
      <c r="E27" s="506">
        <f>GuthLangzeitEndVorJahrinStunden</f>
        <v>0</v>
      </c>
      <c r="F27" s="425">
        <f>Zusammenzug!P38</f>
        <v>0</v>
      </c>
      <c r="G27" s="507">
        <f>E27-F27</f>
        <v>0</v>
      </c>
    </row>
    <row r="28" spans="1:7" ht="13.5" customHeight="1" x14ac:dyDescent="0.2">
      <c r="A28" s="418"/>
      <c r="B28" s="496" t="s">
        <v>355</v>
      </c>
      <c r="C28" s="611"/>
      <c r="D28" s="612"/>
      <c r="E28" s="427"/>
      <c r="F28" s="426"/>
      <c r="G28" s="425"/>
    </row>
    <row r="29" spans="1:7" ht="6.75" customHeight="1" x14ac:dyDescent="0.2">
      <c r="A29" s="418"/>
      <c r="C29" s="393"/>
      <c r="D29" s="424"/>
      <c r="E29" s="427"/>
      <c r="F29" s="426"/>
      <c r="G29" s="425"/>
    </row>
    <row r="30" spans="1:7" ht="13.5" customHeight="1" x14ac:dyDescent="0.2">
      <c r="A30" s="418"/>
      <c r="B30" s="391" t="str">
        <f>CONCATENATE("Prime de fidélité pour ",Jahr)</f>
        <v>Prime de fidélité pour 2025</v>
      </c>
      <c r="D30" s="428"/>
      <c r="E30" s="425">
        <f>GutschriftTreueprämie</f>
        <v>0</v>
      </c>
      <c r="F30" s="425">
        <f>Zusammenzug!P37</f>
        <v>0</v>
      </c>
      <c r="G30" s="507">
        <f>E30-F30</f>
        <v>0</v>
      </c>
    </row>
    <row r="31" spans="1:7" ht="12.75" customHeight="1" x14ac:dyDescent="0.2">
      <c r="A31" s="418"/>
      <c r="B31" s="496" t="s">
        <v>355</v>
      </c>
      <c r="C31" s="611"/>
      <c r="D31" s="612"/>
      <c r="E31" s="428"/>
      <c r="F31" s="425"/>
      <c r="G31" s="425"/>
    </row>
    <row r="32" spans="1:7" ht="12.75" customHeight="1" x14ac:dyDescent="0.2">
      <c r="A32" s="418"/>
      <c r="B32" s="404"/>
      <c r="D32" s="418"/>
      <c r="E32" s="428"/>
      <c r="F32" s="425"/>
      <c r="G32" s="425"/>
    </row>
    <row r="33" spans="1:7" ht="24" customHeight="1" x14ac:dyDescent="0.2">
      <c r="A33" s="418"/>
      <c r="B33" s="641" t="str">
        <f>CONCATENATE("Report du solde désigné de vacances sur le compte épargne temps au  31.12.",Jahr)</f>
        <v>Report du solde désigné de vacances sur le compte épargne temps au  31.12.2025</v>
      </c>
      <c r="C33" s="642"/>
      <c r="D33" s="643"/>
      <c r="E33" s="425">
        <f>G21*TaginSt*JahresBG</f>
        <v>0</v>
      </c>
      <c r="F33" s="425"/>
      <c r="G33" s="507">
        <f>E33</f>
        <v>0</v>
      </c>
    </row>
    <row r="34" spans="1:7" ht="18" customHeight="1" thickBot="1" x14ac:dyDescent="0.25">
      <c r="A34" s="418"/>
      <c r="B34" s="431" t="s">
        <v>342</v>
      </c>
      <c r="C34" s="432"/>
      <c r="D34" s="433"/>
      <c r="E34" s="434"/>
      <c r="F34" s="434"/>
      <c r="G34" s="508">
        <f>SUM(G26:G33)</f>
        <v>0</v>
      </c>
    </row>
    <row r="35" spans="1:7" ht="3" customHeight="1" thickTop="1" x14ac:dyDescent="0.2">
      <c r="F35" s="613"/>
      <c r="G35" s="614"/>
    </row>
    <row r="36" spans="1:7" ht="11.25" customHeight="1" x14ac:dyDescent="0.2">
      <c r="F36" s="606">
        <f>Jahr</f>
        <v>2025</v>
      </c>
      <c r="G36" s="615"/>
    </row>
    <row r="37" spans="1:7" ht="21.75" customHeight="1" x14ac:dyDescent="0.2">
      <c r="B37" s="497" t="s">
        <v>356</v>
      </c>
      <c r="C37" s="436"/>
      <c r="D37" s="436"/>
      <c r="E37" s="436"/>
      <c r="F37" s="644" t="s">
        <v>365</v>
      </c>
      <c r="G37" s="645" t="s">
        <v>364</v>
      </c>
    </row>
    <row r="38" spans="1:7" ht="13.5" customHeight="1" x14ac:dyDescent="0.2">
      <c r="B38" s="498" t="s">
        <v>357</v>
      </c>
      <c r="C38" s="499" t="s">
        <v>366</v>
      </c>
      <c r="D38" s="438"/>
      <c r="E38" s="439"/>
      <c r="F38" s="644"/>
      <c r="G38" s="645"/>
    </row>
    <row r="39" spans="1:7" ht="15" customHeight="1" x14ac:dyDescent="0.2">
      <c r="B39" s="440" t="s">
        <v>358</v>
      </c>
      <c r="C39" s="609"/>
      <c r="D39" s="609"/>
      <c r="E39" s="610"/>
      <c r="F39" s="509">
        <f t="shared" ref="F39:F44" si="0">G39/JahresBG/TaginSt</f>
        <v>0</v>
      </c>
      <c r="G39" s="509">
        <f>Zusammenzug!P34</f>
        <v>0</v>
      </c>
    </row>
    <row r="40" spans="1:7" ht="15" customHeight="1" x14ac:dyDescent="0.2">
      <c r="B40" s="440" t="s">
        <v>359</v>
      </c>
      <c r="C40" s="609"/>
      <c r="D40" s="609"/>
      <c r="E40" s="610"/>
      <c r="F40" s="509">
        <f t="shared" si="0"/>
        <v>0</v>
      </c>
      <c r="G40" s="509">
        <f>Zusammenzug!P35</f>
        <v>0</v>
      </c>
    </row>
    <row r="41" spans="1:7" ht="15" customHeight="1" x14ac:dyDescent="0.2">
      <c r="B41" s="440" t="s">
        <v>360</v>
      </c>
      <c r="C41" s="609"/>
      <c r="D41" s="609"/>
      <c r="E41" s="610"/>
      <c r="F41" s="509">
        <f t="shared" si="0"/>
        <v>0</v>
      </c>
      <c r="G41" s="509">
        <f>Zusammenzug!P32</f>
        <v>0</v>
      </c>
    </row>
    <row r="42" spans="1:7" ht="15" customHeight="1" x14ac:dyDescent="0.2">
      <c r="B42" s="440" t="s">
        <v>361</v>
      </c>
      <c r="C42" s="609"/>
      <c r="D42" s="609"/>
      <c r="E42" s="610"/>
      <c r="F42" s="509">
        <f t="shared" si="0"/>
        <v>0</v>
      </c>
      <c r="G42" s="509">
        <f>Zusammenzug!P33</f>
        <v>0</v>
      </c>
    </row>
    <row r="43" spans="1:7" ht="15" customHeight="1" x14ac:dyDescent="0.2">
      <c r="B43" s="440" t="s">
        <v>362</v>
      </c>
      <c r="C43" s="609"/>
      <c r="D43" s="609"/>
      <c r="E43" s="610"/>
      <c r="F43" s="509">
        <f t="shared" si="0"/>
        <v>0</v>
      </c>
      <c r="G43" s="509">
        <f>Zusammenzug!P36</f>
        <v>0</v>
      </c>
    </row>
    <row r="44" spans="1:7" ht="15" customHeight="1" x14ac:dyDescent="0.2">
      <c r="B44" s="441" t="s">
        <v>363</v>
      </c>
      <c r="C44" s="620"/>
      <c r="D44" s="620"/>
      <c r="E44" s="621"/>
      <c r="F44" s="509">
        <f t="shared" si="0"/>
        <v>0</v>
      </c>
      <c r="G44" s="511">
        <f>Zusammenzug!P31</f>
        <v>0</v>
      </c>
    </row>
    <row r="45" spans="1:7" ht="16.5" customHeight="1" thickBot="1" x14ac:dyDescent="0.25">
      <c r="A45" s="442"/>
      <c r="B45" s="443" t="s">
        <v>342</v>
      </c>
      <c r="C45" s="444"/>
      <c r="D45" s="444"/>
      <c r="E45" s="445"/>
      <c r="F45" s="510">
        <f>SUM(F39:F44)</f>
        <v>0</v>
      </c>
      <c r="G45" s="510">
        <f>SUM(G39:G44)</f>
        <v>0</v>
      </c>
    </row>
    <row r="46" spans="1:7" ht="14.25" customHeight="1" thickTop="1" x14ac:dyDescent="0.2">
      <c r="B46" s="442" t="s">
        <v>367</v>
      </c>
    </row>
    <row r="47" spans="1:7" ht="13.5" customHeight="1" x14ac:dyDescent="0.2">
      <c r="A47" s="390" t="s">
        <v>368</v>
      </c>
      <c r="B47" s="486"/>
    </row>
    <row r="48" spans="1:7" ht="6.75" customHeight="1" x14ac:dyDescent="0.2">
      <c r="A48" s="390"/>
      <c r="B48"/>
      <c r="C48"/>
      <c r="D48"/>
      <c r="E48"/>
      <c r="F48"/>
      <c r="G48"/>
    </row>
    <row r="50" spans="1:7" ht="13.5" customHeight="1" x14ac:dyDescent="0.2">
      <c r="A50" s="619"/>
      <c r="B50" s="619"/>
      <c r="E50" s="622"/>
      <c r="F50" s="622"/>
      <c r="G50" s="622"/>
    </row>
    <row r="51" spans="1:7" ht="12" customHeight="1" x14ac:dyDescent="0.2">
      <c r="A51" s="446" t="s">
        <v>21</v>
      </c>
      <c r="B51" s="447"/>
      <c r="C51" s="486"/>
      <c r="D51" s="486"/>
      <c r="E51" s="500" t="s">
        <v>376</v>
      </c>
      <c r="F51" s="500"/>
      <c r="G51" s="446"/>
    </row>
    <row r="52" spans="1:7" ht="6.75" customHeight="1" x14ac:dyDescent="0.2"/>
    <row r="53" spans="1:7" ht="13.5" customHeight="1" x14ac:dyDescent="0.2">
      <c r="A53" s="390" t="s">
        <v>369</v>
      </c>
      <c r="B53" s="486"/>
      <c r="C53"/>
      <c r="D53"/>
      <c r="E53"/>
      <c r="F53"/>
      <c r="G53"/>
    </row>
    <row r="54" spans="1:7" ht="13.5" customHeight="1" x14ac:dyDescent="0.2">
      <c r="A54" s="448"/>
      <c r="B54"/>
      <c r="C54"/>
      <c r="D54"/>
      <c r="E54"/>
      <c r="F54"/>
    </row>
    <row r="55" spans="1:7" ht="13.5" customHeight="1" x14ac:dyDescent="0.2">
      <c r="A55" s="618"/>
      <c r="B55" s="618"/>
      <c r="C55"/>
      <c r="D55"/>
      <c r="E55" s="623"/>
      <c r="F55" s="623"/>
      <c r="G55" s="623"/>
    </row>
    <row r="56" spans="1:7" ht="13.5" customHeight="1" x14ac:dyDescent="0.2">
      <c r="A56" s="446" t="s">
        <v>21</v>
      </c>
      <c r="B56" s="447"/>
      <c r="C56" s="501" t="s">
        <v>370</v>
      </c>
      <c r="D56" s="501"/>
      <c r="E56" s="501" t="s">
        <v>371</v>
      </c>
      <c r="F56" s="501"/>
      <c r="G56" s="501" t="s">
        <v>372</v>
      </c>
    </row>
  </sheetData>
  <sheetProtection algorithmName="SHA-512" hashValue="WfdSvfWi1CeYeHVNe92U+0Q3uNiQU0r5lPhqeRSeKUIbgU0Xa7rd2nCwdIVGrcamUcWplG1wjAelD2xPBJpozA==" saltValue="pUAtT3zyebZMvhjMc9jyzw==" spinCount="100000" sheet="1" objects="1" scenarios="1"/>
  <mergeCells count="30">
    <mergeCell ref="A50:B50"/>
    <mergeCell ref="A55:B55"/>
    <mergeCell ref="B33:D33"/>
    <mergeCell ref="E50:G50"/>
    <mergeCell ref="E55:G55"/>
    <mergeCell ref="C39:E39"/>
    <mergeCell ref="C40:E40"/>
    <mergeCell ref="C41:E41"/>
    <mergeCell ref="C42:E42"/>
    <mergeCell ref="C43:E43"/>
    <mergeCell ref="C44:E44"/>
    <mergeCell ref="F37:F38"/>
    <mergeCell ref="G37:G38"/>
    <mergeCell ref="E24:G24"/>
    <mergeCell ref="C28:D28"/>
    <mergeCell ref="C31:D31"/>
    <mergeCell ref="F35:G35"/>
    <mergeCell ref="F36:G36"/>
    <mergeCell ref="E18:G18"/>
    <mergeCell ref="C1:F2"/>
    <mergeCell ref="G1:G2"/>
    <mergeCell ref="E4:G4"/>
    <mergeCell ref="E8:G8"/>
    <mergeCell ref="E9:G9"/>
    <mergeCell ref="E10:G10"/>
    <mergeCell ref="E11:G11"/>
    <mergeCell ref="E12:G12"/>
    <mergeCell ref="E13:G13"/>
    <mergeCell ref="E14:G14"/>
    <mergeCell ref="E16:G16"/>
  </mergeCells>
  <pageMargins left="0.59055118110236227" right="0.19685039370078741" top="0.19685039370078741" bottom="0.39370078740157483" header="0.51181102362204722" footer="0.51181102362204722"/>
  <pageSetup paperSize="9" scale="98" orientation="portrait" r:id="rId1"/>
  <headerFooter alignWithMargins="0">
    <oddFooter>&amp;L&amp;8&amp;K000000Ausdruck vom &amp;D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45B3-E026-4F8C-8291-25CCD7005883}">
  <sheetPr>
    <pageSetUpPr fitToPage="1"/>
  </sheetPr>
  <dimension ref="B2:M21"/>
  <sheetViews>
    <sheetView showGridLines="0" showRowColHeaders="0" workbookViewId="0">
      <selection activeCell="B5" sqref="B5:C5"/>
    </sheetView>
  </sheetViews>
  <sheetFormatPr baseColWidth="10" defaultColWidth="8.7109375" defaultRowHeight="12.75" x14ac:dyDescent="0.2"/>
  <cols>
    <col min="1" max="1" width="4" style="10" customWidth="1"/>
    <col min="2" max="16384" width="8.7109375" style="10"/>
  </cols>
  <sheetData>
    <row r="2" spans="2:13" ht="15.75" x14ac:dyDescent="0.25">
      <c r="B2" s="93" t="s">
        <v>129</v>
      </c>
      <c r="H2" s="94" t="s">
        <v>215</v>
      </c>
      <c r="M2" s="470" t="str">
        <f>Version</f>
        <v>v25/24.12.28zw</v>
      </c>
    </row>
    <row r="3" spans="2:13" x14ac:dyDescent="0.2">
      <c r="C3" s="95"/>
      <c r="D3" s="96"/>
      <c r="E3" s="96"/>
      <c r="F3" s="96"/>
      <c r="G3" s="96"/>
      <c r="H3" s="96"/>
      <c r="I3" s="96"/>
      <c r="J3" s="96"/>
      <c r="K3" s="96"/>
      <c r="L3" s="96"/>
      <c r="M3" s="96"/>
    </row>
    <row r="4" spans="2:13" ht="38.25" x14ac:dyDescent="0.2">
      <c r="B4" s="652" t="s">
        <v>2</v>
      </c>
      <c r="C4" s="652"/>
      <c r="D4" s="6" t="s">
        <v>80</v>
      </c>
      <c r="E4" s="7" t="s">
        <v>81</v>
      </c>
      <c r="F4" s="647" t="s">
        <v>82</v>
      </c>
      <c r="G4" s="648"/>
      <c r="H4" s="649"/>
      <c r="I4" s="29" t="s">
        <v>106</v>
      </c>
      <c r="J4" s="30" t="s">
        <v>6</v>
      </c>
      <c r="K4" s="30" t="s">
        <v>102</v>
      </c>
      <c r="L4" s="30" t="s">
        <v>103</v>
      </c>
      <c r="M4" s="30" t="s">
        <v>104</v>
      </c>
    </row>
    <row r="5" spans="2:13" x14ac:dyDescent="0.2">
      <c r="B5" s="646">
        <f>DATE(Jahr,1,1)</f>
        <v>44196</v>
      </c>
      <c r="C5" s="646"/>
      <c r="D5" s="8">
        <f t="shared" ref="D5:D17" si="0">IF(B5="","",B5)</f>
        <v>44196</v>
      </c>
      <c r="E5" s="57">
        <v>0</v>
      </c>
      <c r="F5" s="58" t="s">
        <v>4</v>
      </c>
      <c r="G5" s="59"/>
      <c r="H5" s="60"/>
      <c r="I5" s="38">
        <f t="shared" ref="I5:I21" si="1">IF(B5="","",IF(WEEKDAY(B5,2)&lt;6,(TaginSt-E5),0))</f>
        <v>8.4</v>
      </c>
      <c r="J5" s="47">
        <f>IF(I5="","",I5)</f>
        <v>8.4</v>
      </c>
      <c r="K5" s="28">
        <f t="shared" ref="K5:K21" si="2">IF(AND(B5&gt;=DATE(Jahr,DUAM1,DUAT1),B5&lt;=DATE(Jahr,DUEM1,DUET1)),BGrad1,IF(AND(B5&gt;=DATE(Jahr,DUAM2,DUAT2),B5&lt;=DATE(Jahr,DUEM2,DUET2)),BGrad2,IF(AND(B5&gt;=DATE(Jahr,DUAM3,DUAT3),B5&lt;=DATE(Jahr,DUEM3,DUET3)),BGrad3,IF(AND(B5&gt;=DATE(Jahr,DUAM4,DUAT4),B5&lt;=DATE(Jahr,DUEM4,DUET4)),BGrad4,IF(AND(B5&gt;=DATE(Jahr,DUAM5,DUAT5),B5&lt;=DATE(Jahr,DUEM5,DUET5)),BGrad5,"")))))</f>
        <v>0.8</v>
      </c>
      <c r="L5" s="38">
        <f t="shared" ref="L5:L21" si="3">IFERROR(I5*K5/100,"")</f>
        <v>6.720000000000001E-2</v>
      </c>
      <c r="M5" s="38">
        <f>IFERROR(L5,"")</f>
        <v>6.720000000000001E-2</v>
      </c>
    </row>
    <row r="6" spans="2:13" x14ac:dyDescent="0.2">
      <c r="B6" s="646">
        <f>DATE(Jahr,1,2)</f>
        <v>44197</v>
      </c>
      <c r="C6" s="646"/>
      <c r="D6" s="8">
        <f t="shared" si="0"/>
        <v>44197</v>
      </c>
      <c r="E6" s="57">
        <v>0</v>
      </c>
      <c r="F6" s="58" t="s">
        <v>59</v>
      </c>
      <c r="G6" s="59"/>
      <c r="H6" s="60"/>
      <c r="I6" s="38">
        <f t="shared" si="1"/>
        <v>8.4</v>
      </c>
      <c r="J6" s="47">
        <f t="shared" ref="J6:J21" si="4">IF(I6="","",J5+I6)</f>
        <v>16.8</v>
      </c>
      <c r="K6" s="28">
        <f t="shared" si="2"/>
        <v>0.8</v>
      </c>
      <c r="L6" s="38">
        <f t="shared" si="3"/>
        <v>6.720000000000001E-2</v>
      </c>
      <c r="M6" s="38">
        <f t="shared" ref="M6:M21" si="5">IFERROR(M5+L6,"")</f>
        <v>0.13440000000000002</v>
      </c>
    </row>
    <row r="7" spans="2:13" x14ac:dyDescent="0.2">
      <c r="B7" s="646">
        <f>Ostern-2</f>
        <v>44303</v>
      </c>
      <c r="C7" s="646"/>
      <c r="D7" s="8">
        <f t="shared" si="0"/>
        <v>44303</v>
      </c>
      <c r="E7" s="57">
        <v>0</v>
      </c>
      <c r="F7" s="58" t="s">
        <v>83</v>
      </c>
      <c r="G7" s="59"/>
      <c r="H7" s="60"/>
      <c r="I7" s="38">
        <f t="shared" si="1"/>
        <v>8.4</v>
      </c>
      <c r="J7" s="47">
        <f t="shared" si="4"/>
        <v>25.200000000000003</v>
      </c>
      <c r="K7" s="28">
        <f t="shared" si="2"/>
        <v>0.8</v>
      </c>
      <c r="L7" s="38">
        <f>IFERROR(I7*K7/100,"")</f>
        <v>6.720000000000001E-2</v>
      </c>
      <c r="M7" s="38">
        <f t="shared" si="5"/>
        <v>0.20160000000000003</v>
      </c>
    </row>
    <row r="8" spans="2:13" x14ac:dyDescent="0.2">
      <c r="B8" s="646">
        <f>Ostern+0</f>
        <v>44305</v>
      </c>
      <c r="C8" s="646"/>
      <c r="D8" s="39">
        <f t="shared" si="0"/>
        <v>44305</v>
      </c>
      <c r="E8" s="61">
        <v>0</v>
      </c>
      <c r="F8" s="62" t="s">
        <v>91</v>
      </c>
      <c r="G8" s="63"/>
      <c r="H8" s="64"/>
      <c r="I8" s="38">
        <f t="shared" si="1"/>
        <v>0</v>
      </c>
      <c r="J8" s="47">
        <f t="shared" si="4"/>
        <v>25.200000000000003</v>
      </c>
      <c r="K8" s="28">
        <f t="shared" si="2"/>
        <v>0.8</v>
      </c>
      <c r="L8" s="38">
        <f>IFERROR(I8*K8/100,"")</f>
        <v>0</v>
      </c>
      <c r="M8" s="38">
        <f t="shared" si="5"/>
        <v>0.20160000000000003</v>
      </c>
    </row>
    <row r="9" spans="2:13" x14ac:dyDescent="0.2">
      <c r="B9" s="646">
        <f>Ostern+1</f>
        <v>44306</v>
      </c>
      <c r="C9" s="646"/>
      <c r="D9" s="8">
        <f t="shared" si="0"/>
        <v>44306</v>
      </c>
      <c r="E9" s="57">
        <v>0</v>
      </c>
      <c r="F9" s="58" t="s">
        <v>84</v>
      </c>
      <c r="G9" s="59"/>
      <c r="H9" s="60"/>
      <c r="I9" s="38">
        <f t="shared" si="1"/>
        <v>8.4</v>
      </c>
      <c r="J9" s="47">
        <f>IF(I9="","",J8+I9)</f>
        <v>33.6</v>
      </c>
      <c r="K9" s="28">
        <f t="shared" si="2"/>
        <v>0.8</v>
      </c>
      <c r="L9" s="38">
        <f>IFERROR(I9*K9/100,"")</f>
        <v>6.720000000000001E-2</v>
      </c>
      <c r="M9" s="38">
        <f t="shared" si="5"/>
        <v>0.26880000000000004</v>
      </c>
    </row>
    <row r="10" spans="2:13" x14ac:dyDescent="0.2">
      <c r="B10" s="650">
        <f>B8+39</f>
        <v>44344</v>
      </c>
      <c r="C10" s="651"/>
      <c r="D10" s="8">
        <f t="shared" si="0"/>
        <v>44344</v>
      </c>
      <c r="E10" s="57">
        <v>0</v>
      </c>
      <c r="F10" s="58" t="s">
        <v>85</v>
      </c>
      <c r="G10" s="59"/>
      <c r="H10" s="60"/>
      <c r="I10" s="38">
        <f t="shared" si="1"/>
        <v>8.4</v>
      </c>
      <c r="J10" s="47">
        <f>IF(I10="","",J9+I10)</f>
        <v>42</v>
      </c>
      <c r="K10" s="28">
        <f t="shared" si="2"/>
        <v>0.8</v>
      </c>
      <c r="L10" s="38">
        <f>IFERROR(I10*K10/100,"")</f>
        <v>6.720000000000001E-2</v>
      </c>
      <c r="M10" s="38">
        <f t="shared" si="5"/>
        <v>0.33600000000000008</v>
      </c>
    </row>
    <row r="11" spans="2:13" x14ac:dyDescent="0.2">
      <c r="B11" s="650">
        <f>B8+49</f>
        <v>44354</v>
      </c>
      <c r="C11" s="651"/>
      <c r="D11" s="8">
        <f t="shared" si="0"/>
        <v>44354</v>
      </c>
      <c r="E11" s="57">
        <v>0</v>
      </c>
      <c r="F11" s="58" t="s">
        <v>92</v>
      </c>
      <c r="G11" s="59"/>
      <c r="H11" s="60"/>
      <c r="I11" s="38">
        <f t="shared" si="1"/>
        <v>0</v>
      </c>
      <c r="J11" s="47">
        <f>IF(I11="","",J10+I11)</f>
        <v>42</v>
      </c>
      <c r="K11" s="28">
        <f t="shared" si="2"/>
        <v>0.8</v>
      </c>
      <c r="L11" s="38">
        <f>IFERROR(I11*K11/100,"")</f>
        <v>0</v>
      </c>
      <c r="M11" s="38">
        <f t="shared" si="5"/>
        <v>0.33600000000000008</v>
      </c>
    </row>
    <row r="12" spans="2:13" x14ac:dyDescent="0.2">
      <c r="B12" s="650">
        <f>B8+50</f>
        <v>44355</v>
      </c>
      <c r="C12" s="651"/>
      <c r="D12" s="8">
        <f t="shared" si="0"/>
        <v>44355</v>
      </c>
      <c r="E12" s="57">
        <v>0</v>
      </c>
      <c r="F12" s="58" t="s">
        <v>86</v>
      </c>
      <c r="G12" s="59"/>
      <c r="H12" s="60"/>
      <c r="I12" s="38">
        <f t="shared" si="1"/>
        <v>8.4</v>
      </c>
      <c r="J12" s="47">
        <f t="shared" si="4"/>
        <v>50.4</v>
      </c>
      <c r="K12" s="28">
        <f t="shared" si="2"/>
        <v>0.8</v>
      </c>
      <c r="L12" s="38">
        <f t="shared" si="3"/>
        <v>6.720000000000001E-2</v>
      </c>
      <c r="M12" s="38">
        <f t="shared" si="5"/>
        <v>0.40320000000000011</v>
      </c>
    </row>
    <row r="13" spans="2:13" x14ac:dyDescent="0.2">
      <c r="B13" s="650">
        <f>DATE(Jahr,8,1)</f>
        <v>44408</v>
      </c>
      <c r="C13" s="651"/>
      <c r="D13" s="8">
        <f t="shared" si="0"/>
        <v>44408</v>
      </c>
      <c r="E13" s="57">
        <v>0</v>
      </c>
      <c r="F13" s="58" t="s">
        <v>87</v>
      </c>
      <c r="G13" s="59"/>
      <c r="H13" s="60"/>
      <c r="I13" s="38">
        <f t="shared" si="1"/>
        <v>8.4</v>
      </c>
      <c r="J13" s="47">
        <f t="shared" si="4"/>
        <v>58.8</v>
      </c>
      <c r="K13" s="28">
        <f t="shared" si="2"/>
        <v>0.8</v>
      </c>
      <c r="L13" s="38">
        <f>IFERROR(I13*K13/100,"")</f>
        <v>6.720000000000001E-2</v>
      </c>
      <c r="M13" s="38">
        <f t="shared" si="5"/>
        <v>0.47040000000000015</v>
      </c>
    </row>
    <row r="14" spans="2:13" x14ac:dyDescent="0.2">
      <c r="B14" s="650">
        <f>DATE(Jahr,12,24)</f>
        <v>44553</v>
      </c>
      <c r="C14" s="651"/>
      <c r="D14" s="8">
        <f t="shared" si="0"/>
        <v>44553</v>
      </c>
      <c r="E14" s="57">
        <v>4.2</v>
      </c>
      <c r="F14" s="58" t="s">
        <v>88</v>
      </c>
      <c r="G14" s="59"/>
      <c r="H14" s="60"/>
      <c r="I14" s="38">
        <f t="shared" si="1"/>
        <v>4.2</v>
      </c>
      <c r="J14" s="47">
        <f t="shared" si="4"/>
        <v>63</v>
      </c>
      <c r="K14" s="28">
        <f t="shared" si="2"/>
        <v>0.8</v>
      </c>
      <c r="L14" s="38">
        <f t="shared" si="3"/>
        <v>3.3600000000000005E-2</v>
      </c>
      <c r="M14" s="38">
        <f t="shared" si="5"/>
        <v>0.50400000000000011</v>
      </c>
    </row>
    <row r="15" spans="2:13" x14ac:dyDescent="0.2">
      <c r="B15" s="650">
        <f>DATE(Jahr,12,25)</f>
        <v>44554</v>
      </c>
      <c r="C15" s="651"/>
      <c r="D15" s="8">
        <f t="shared" si="0"/>
        <v>44554</v>
      </c>
      <c r="E15" s="57">
        <v>0</v>
      </c>
      <c r="F15" s="58" t="s">
        <v>89</v>
      </c>
      <c r="G15" s="59"/>
      <c r="H15" s="60"/>
      <c r="I15" s="38">
        <f t="shared" si="1"/>
        <v>8.4</v>
      </c>
      <c r="J15" s="47">
        <f t="shared" si="4"/>
        <v>71.400000000000006</v>
      </c>
      <c r="K15" s="28">
        <f t="shared" si="2"/>
        <v>0.8</v>
      </c>
      <c r="L15" s="38">
        <f t="shared" si="3"/>
        <v>6.720000000000001E-2</v>
      </c>
      <c r="M15" s="38">
        <f t="shared" si="5"/>
        <v>0.57120000000000015</v>
      </c>
    </row>
    <row r="16" spans="2:13" x14ac:dyDescent="0.2">
      <c r="B16" s="650">
        <f>DATE(Jahr,12,26)</f>
        <v>44555</v>
      </c>
      <c r="C16" s="651"/>
      <c r="D16" s="8">
        <f t="shared" si="0"/>
        <v>44555</v>
      </c>
      <c r="E16" s="57">
        <v>0</v>
      </c>
      <c r="F16" s="58" t="s">
        <v>90</v>
      </c>
      <c r="G16" s="59"/>
      <c r="H16" s="60"/>
      <c r="I16" s="38">
        <f t="shared" si="1"/>
        <v>8.4</v>
      </c>
      <c r="J16" s="47">
        <f t="shared" si="4"/>
        <v>79.800000000000011</v>
      </c>
      <c r="K16" s="28">
        <f t="shared" si="2"/>
        <v>0.8</v>
      </c>
      <c r="L16" s="38">
        <f t="shared" si="3"/>
        <v>6.720000000000001E-2</v>
      </c>
      <c r="M16" s="38">
        <f t="shared" si="5"/>
        <v>0.63840000000000019</v>
      </c>
    </row>
    <row r="17" spans="2:13" x14ac:dyDescent="0.2">
      <c r="B17" s="646">
        <f>DATE(Jahr,12,31)</f>
        <v>44560</v>
      </c>
      <c r="C17" s="646"/>
      <c r="D17" s="8">
        <f t="shared" si="0"/>
        <v>44560</v>
      </c>
      <c r="E17" s="57">
        <v>4.2</v>
      </c>
      <c r="F17" s="58" t="s">
        <v>93</v>
      </c>
      <c r="G17" s="59"/>
      <c r="H17" s="60"/>
      <c r="I17" s="38">
        <f t="shared" si="1"/>
        <v>4.2</v>
      </c>
      <c r="J17" s="47">
        <f t="shared" si="4"/>
        <v>84.000000000000014</v>
      </c>
      <c r="K17" s="28">
        <f t="shared" si="2"/>
        <v>0.8</v>
      </c>
      <c r="L17" s="38">
        <f t="shared" si="3"/>
        <v>3.3600000000000005E-2</v>
      </c>
      <c r="M17" s="38">
        <f t="shared" si="5"/>
        <v>0.67200000000000015</v>
      </c>
    </row>
    <row r="18" spans="2:13" x14ac:dyDescent="0.2">
      <c r="B18" s="646"/>
      <c r="C18" s="646"/>
      <c r="D18" s="8"/>
      <c r="E18" s="57"/>
      <c r="F18" s="58"/>
      <c r="G18" s="59"/>
      <c r="H18" s="60"/>
      <c r="I18" s="38" t="str">
        <f t="shared" si="1"/>
        <v/>
      </c>
      <c r="J18" s="47" t="str">
        <f t="shared" si="4"/>
        <v/>
      </c>
      <c r="K18" s="28" t="str">
        <f t="shared" si="2"/>
        <v/>
      </c>
      <c r="L18" s="38" t="str">
        <f t="shared" si="3"/>
        <v/>
      </c>
      <c r="M18" s="38" t="str">
        <f t="shared" si="5"/>
        <v/>
      </c>
    </row>
    <row r="19" spans="2:13" x14ac:dyDescent="0.2">
      <c r="B19" s="646"/>
      <c r="C19" s="646"/>
      <c r="D19" s="8" t="str">
        <f>IF(B19="","",B19)</f>
        <v/>
      </c>
      <c r="E19" s="57"/>
      <c r="F19" s="58"/>
      <c r="G19" s="59"/>
      <c r="H19" s="60"/>
      <c r="I19" s="38" t="str">
        <f t="shared" si="1"/>
        <v/>
      </c>
      <c r="J19" s="47" t="str">
        <f t="shared" si="4"/>
        <v/>
      </c>
      <c r="K19" s="28" t="str">
        <f t="shared" si="2"/>
        <v/>
      </c>
      <c r="L19" s="38" t="str">
        <f t="shared" si="3"/>
        <v/>
      </c>
      <c r="M19" s="38" t="str">
        <f t="shared" si="5"/>
        <v/>
      </c>
    </row>
    <row r="20" spans="2:13" x14ac:dyDescent="0.2">
      <c r="B20" s="646"/>
      <c r="C20" s="646"/>
      <c r="D20" s="8" t="str">
        <f>IF(B20="","",B20)</f>
        <v/>
      </c>
      <c r="E20" s="57"/>
      <c r="F20" s="58"/>
      <c r="G20" s="59"/>
      <c r="H20" s="60"/>
      <c r="I20" s="38" t="str">
        <f t="shared" si="1"/>
        <v/>
      </c>
      <c r="J20" s="47" t="str">
        <f t="shared" si="4"/>
        <v/>
      </c>
      <c r="K20" s="28" t="str">
        <f t="shared" si="2"/>
        <v/>
      </c>
      <c r="L20" s="38" t="str">
        <f t="shared" si="3"/>
        <v/>
      </c>
      <c r="M20" s="38" t="str">
        <f t="shared" si="5"/>
        <v/>
      </c>
    </row>
    <row r="21" spans="2:13" x14ac:dyDescent="0.2">
      <c r="B21" s="646"/>
      <c r="C21" s="646"/>
      <c r="D21" s="8" t="str">
        <f>IF(B21="","",B21)</f>
        <v/>
      </c>
      <c r="E21" s="57"/>
      <c r="F21" s="58"/>
      <c r="G21" s="59"/>
      <c r="H21" s="60"/>
      <c r="I21" s="38" t="str">
        <f t="shared" si="1"/>
        <v/>
      </c>
      <c r="J21" s="47" t="str">
        <f t="shared" si="4"/>
        <v/>
      </c>
      <c r="K21" s="28" t="str">
        <f t="shared" si="2"/>
        <v/>
      </c>
      <c r="L21" s="38" t="str">
        <f t="shared" si="3"/>
        <v/>
      </c>
      <c r="M21" s="38" t="str">
        <f t="shared" si="5"/>
        <v/>
      </c>
    </row>
  </sheetData>
  <sheetProtection algorithmName="SHA-512" hashValue="/t5rJCJlpbVtuUsvPu8uyPbHfwEp2Y65OqCcebeTzdg8Xb6LmlkfQCv9y2XyLRUjlhAPgwXWvUR6yG9a/VhuKw==" saltValue="gcDDhZQpeR7nPIjoW/JQ1g==" spinCount="100000" sheet="1" objects="1" scenarios="1"/>
  <mergeCells count="19">
    <mergeCell ref="B12:C12"/>
    <mergeCell ref="B13:C13"/>
    <mergeCell ref="B6:C6"/>
    <mergeCell ref="B7:C7"/>
    <mergeCell ref="B8:C8"/>
    <mergeCell ref="B9:C9"/>
    <mergeCell ref="F4:H4"/>
    <mergeCell ref="B21:C21"/>
    <mergeCell ref="B15:C15"/>
    <mergeCell ref="B16:C16"/>
    <mergeCell ref="B17:C17"/>
    <mergeCell ref="B18:C18"/>
    <mergeCell ref="B19:C19"/>
    <mergeCell ref="B20:C20"/>
    <mergeCell ref="B14:C14"/>
    <mergeCell ref="B4:C4"/>
    <mergeCell ref="B5:C5"/>
    <mergeCell ref="B10:C10"/>
    <mergeCell ref="B11:C11"/>
  </mergeCells>
  <pageMargins left="0.70866141732283472" right="0.70866141732283472" top="0.78740157480314965" bottom="0.78740157480314965" header="0.31496062992125984" footer="0.31496062992125984"/>
  <pageSetup paperSize="9" scale="85" fitToHeight="0" orientation="portrait" horizontalDpi="0" verticalDpi="0" r:id="rId1"/>
  <headerFooter>
    <oddFooter>&amp;LAusdruck vom &amp;D&amp;C&amp;A&amp;R&amp;P/&amp;N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Q36"/>
  <sheetViews>
    <sheetView showGridLines="0" showRowColHeaders="0" zoomScaleNormal="100" workbookViewId="0">
      <selection activeCell="A22" sqref="A22"/>
    </sheetView>
  </sheetViews>
  <sheetFormatPr baseColWidth="10" defaultRowHeight="12.75" x14ac:dyDescent="0.2"/>
  <cols>
    <col min="1" max="1" width="11.42578125" customWidth="1"/>
  </cols>
  <sheetData>
    <row r="1" spans="1:17" x14ac:dyDescent="0.2">
      <c r="A1" s="69" t="s">
        <v>8</v>
      </c>
      <c r="B1" s="50"/>
      <c r="C1" s="70" t="s">
        <v>10</v>
      </c>
      <c r="D1" s="71" t="s">
        <v>9</v>
      </c>
    </row>
    <row r="2" spans="1:17" x14ac:dyDescent="0.2">
      <c r="A2" s="49"/>
      <c r="C2" s="80">
        <v>54</v>
      </c>
      <c r="D2" s="73">
        <v>33</v>
      </c>
      <c r="F2" s="3" t="s">
        <v>23</v>
      </c>
    </row>
    <row r="3" spans="1:17" x14ac:dyDescent="0.2">
      <c r="A3" s="49"/>
      <c r="C3" s="80">
        <v>44</v>
      </c>
      <c r="D3" s="73">
        <v>28</v>
      </c>
      <c r="F3" s="3" t="s">
        <v>24</v>
      </c>
    </row>
    <row r="4" spans="1:17" x14ac:dyDescent="0.2">
      <c r="A4" s="49"/>
      <c r="C4" s="1" t="s">
        <v>11</v>
      </c>
      <c r="D4" s="73">
        <v>25</v>
      </c>
    </row>
    <row r="5" spans="1:17" x14ac:dyDescent="0.2">
      <c r="A5" s="49"/>
      <c r="D5" s="53"/>
    </row>
    <row r="6" spans="1:17" x14ac:dyDescent="0.2">
      <c r="A6" s="81" t="s">
        <v>135</v>
      </c>
      <c r="B6" s="52"/>
      <c r="C6" s="52"/>
      <c r="D6" s="82">
        <f>IF(GebJ="",0,ROUND((IF(Jahr-GebJ&gt;Formeln!C2,Formeln!D2,IF(Jahr-GebJ&gt;Formeln!C3,Formeln!D3,Formeln!D4))/(25)),2)*25)</f>
        <v>25</v>
      </c>
    </row>
    <row r="7" spans="1:17" x14ac:dyDescent="0.2">
      <c r="I7" s="78"/>
      <c r="J7" s="78"/>
      <c r="K7" s="78"/>
    </row>
    <row r="8" spans="1:17" x14ac:dyDescent="0.2">
      <c r="A8" s="83" t="s">
        <v>62</v>
      </c>
      <c r="B8" s="74"/>
      <c r="C8" s="74"/>
      <c r="D8" s="84">
        <v>8.4</v>
      </c>
    </row>
    <row r="10" spans="1:17" x14ac:dyDescent="0.2">
      <c r="A10" s="67" t="s">
        <v>12</v>
      </c>
      <c r="B10" s="50"/>
      <c r="C10" s="70">
        <v>31</v>
      </c>
      <c r="D10" s="70">
        <f>28+KSJ</f>
        <v>28</v>
      </c>
      <c r="E10" s="70">
        <v>31</v>
      </c>
      <c r="F10" s="70">
        <v>30</v>
      </c>
      <c r="G10" s="70">
        <v>31</v>
      </c>
      <c r="H10" s="70">
        <v>30</v>
      </c>
      <c r="I10" s="70">
        <v>31</v>
      </c>
      <c r="J10" s="70">
        <v>31</v>
      </c>
      <c r="K10" s="70">
        <v>30</v>
      </c>
      <c r="L10" s="70">
        <v>31</v>
      </c>
      <c r="M10" s="70">
        <v>30</v>
      </c>
      <c r="N10" s="71">
        <v>31</v>
      </c>
    </row>
    <row r="11" spans="1:17" x14ac:dyDescent="0.2">
      <c r="A11" s="51" t="s">
        <v>14</v>
      </c>
      <c r="B11" s="72">
        <f>IF(Jahr/4-INT(Jahr/4)=0,1,0)</f>
        <v>0</v>
      </c>
      <c r="C11" s="79" t="s">
        <v>13</v>
      </c>
      <c r="D11" s="52">
        <f>SUM(C10:N10)</f>
        <v>365</v>
      </c>
      <c r="E11" s="52"/>
      <c r="F11" s="52"/>
      <c r="G11" s="52"/>
      <c r="H11" s="52"/>
      <c r="I11" s="52"/>
      <c r="J11" s="52"/>
      <c r="K11" s="52"/>
      <c r="L11" s="52"/>
      <c r="M11" s="52"/>
      <c r="N11" s="54"/>
      <c r="O11" s="2"/>
      <c r="P11" s="2"/>
      <c r="Q11" s="2"/>
    </row>
    <row r="13" spans="1:17" x14ac:dyDescent="0.2">
      <c r="A13" s="67" t="s">
        <v>157</v>
      </c>
      <c r="B13" s="76"/>
      <c r="C13" s="77" t="str">
        <f>TEXT(IF(C15-31 &lt; 1,C15,C15-31),"0#")&amp;"."&amp;IF(C15 &gt; 31,"04.","03.")&amp;Jahr</f>
        <v>20.04.2025</v>
      </c>
    </row>
    <row r="14" spans="1:17" x14ac:dyDescent="0.2">
      <c r="A14" s="49">
        <f>Jahr</f>
        <v>2025</v>
      </c>
      <c r="B14">
        <f>INT(A14/100)</f>
        <v>20</v>
      </c>
      <c r="C14" s="68">
        <f>MOD(32+2*MOD(B14,4)+2*INT(MOD(Jahr,100)/4)-B15-MOD(MOD(Jahr,100),4),7)</f>
        <v>6</v>
      </c>
    </row>
    <row r="15" spans="1:17" x14ac:dyDescent="0.2">
      <c r="A15" s="51"/>
      <c r="B15" s="56">
        <f>MOD(19*MOD(A14,19)+B14-INT(B14/4)-INT((B14-INT((B14+8)/25)+1)/3)+15,30)</f>
        <v>23</v>
      </c>
      <c r="C15" s="54">
        <f>B15+C14-7*INT((MOD(Jahr,19)+11*B15+22*C14)/451)+22</f>
        <v>51</v>
      </c>
      <c r="D15" s="75"/>
    </row>
    <row r="16" spans="1:17" x14ac:dyDescent="0.2">
      <c r="D16" s="75"/>
    </row>
    <row r="17" spans="1:11" x14ac:dyDescent="0.2">
      <c r="A17" s="161" t="s">
        <v>216</v>
      </c>
      <c r="B17" s="74"/>
      <c r="C17" s="74"/>
      <c r="D17" s="74"/>
      <c r="E17" s="162">
        <v>2</v>
      </c>
    </row>
    <row r="18" spans="1:11" x14ac:dyDescent="0.2">
      <c r="A18" s="55" t="s">
        <v>325</v>
      </c>
    </row>
    <row r="22" spans="1:11" x14ac:dyDescent="0.2">
      <c r="A22" s="4" t="s">
        <v>378</v>
      </c>
    </row>
    <row r="23" spans="1:11" x14ac:dyDescent="0.2">
      <c r="A23" s="512" t="s">
        <v>377</v>
      </c>
      <c r="B23" s="512"/>
      <c r="C23" s="653" t="s">
        <v>381</v>
      </c>
      <c r="D23" s="653"/>
      <c r="E23" s="653"/>
      <c r="F23" s="653"/>
      <c r="G23" s="653"/>
      <c r="H23" s="653"/>
      <c r="I23" s="653"/>
      <c r="J23" s="653"/>
      <c r="K23" s="653"/>
    </row>
    <row r="24" spans="1:11" x14ac:dyDescent="0.2">
      <c r="A24" s="653" t="s">
        <v>379</v>
      </c>
      <c r="B24" s="653"/>
      <c r="C24" s="653" t="s">
        <v>380</v>
      </c>
      <c r="D24" s="653"/>
      <c r="E24" s="653"/>
      <c r="F24" s="653"/>
      <c r="G24" s="653"/>
      <c r="H24" s="653"/>
      <c r="I24" s="653"/>
      <c r="J24" s="653"/>
      <c r="K24" s="653"/>
    </row>
    <row r="25" spans="1:11" ht="12.75" customHeight="1" x14ac:dyDescent="0.2">
      <c r="A25" s="653" t="s">
        <v>388</v>
      </c>
      <c r="B25" s="654"/>
      <c r="C25" s="657" t="s">
        <v>382</v>
      </c>
      <c r="D25" s="658"/>
      <c r="E25" s="658"/>
      <c r="F25" s="658"/>
      <c r="G25" s="658"/>
      <c r="H25" s="658"/>
      <c r="I25" s="658"/>
      <c r="J25" s="658"/>
      <c r="K25" s="658"/>
    </row>
    <row r="26" spans="1:11" x14ac:dyDescent="0.2">
      <c r="A26" s="654"/>
      <c r="B26" s="654"/>
      <c r="C26" s="653" t="s">
        <v>390</v>
      </c>
      <c r="D26" s="654"/>
      <c r="E26" s="654"/>
      <c r="F26" s="654"/>
      <c r="G26" s="654"/>
      <c r="H26" s="654"/>
      <c r="I26" s="654"/>
      <c r="J26" s="654"/>
      <c r="K26" s="654"/>
    </row>
    <row r="27" spans="1:11" x14ac:dyDescent="0.2">
      <c r="A27" s="656"/>
      <c r="B27" s="656"/>
      <c r="C27" s="655"/>
      <c r="D27" s="655"/>
      <c r="E27" s="655"/>
    </row>
    <row r="28" spans="1:11" x14ac:dyDescent="0.2">
      <c r="A28" s="55"/>
    </row>
    <row r="29" spans="1:11" x14ac:dyDescent="0.2">
      <c r="A29" s="55"/>
    </row>
    <row r="30" spans="1:11" x14ac:dyDescent="0.2">
      <c r="A30" s="55"/>
      <c r="B30" s="55"/>
    </row>
    <row r="31" spans="1:11" x14ac:dyDescent="0.2">
      <c r="A31" s="55"/>
      <c r="B31" s="55"/>
    </row>
    <row r="32" spans="1:11" x14ac:dyDescent="0.2">
      <c r="A32" s="55"/>
      <c r="B32" s="55"/>
    </row>
    <row r="33" spans="1:1" x14ac:dyDescent="0.2">
      <c r="A33" s="55"/>
    </row>
    <row r="34" spans="1:1" x14ac:dyDescent="0.2">
      <c r="A34" s="55"/>
    </row>
    <row r="35" spans="1:1" x14ac:dyDescent="0.2">
      <c r="A35" s="55"/>
    </row>
    <row r="36" spans="1:1" x14ac:dyDescent="0.2">
      <c r="A36" s="55"/>
    </row>
  </sheetData>
  <sheetProtection algorithmName="SHA-512" hashValue="BmHo/YO0djmoEuLZS2coHRy8dnA8OG4PX09CdMrx67l8xqKg6VmzpxQoXiRMe5mv5FbxCgxWrsqG6YcfFsYCCA==" saltValue="W3Lw+hV59JKp0rTbC22KTw==" spinCount="100000" sheet="1" objects="1" scenarios="1"/>
  <mergeCells count="9">
    <mergeCell ref="C23:K23"/>
    <mergeCell ref="C24:K24"/>
    <mergeCell ref="C26:K26"/>
    <mergeCell ref="A24:B24"/>
    <mergeCell ref="C27:E27"/>
    <mergeCell ref="A27:B27"/>
    <mergeCell ref="A26:B26"/>
    <mergeCell ref="A25:B25"/>
    <mergeCell ref="C25:K25"/>
  </mergeCells>
  <phoneticPr fontId="13" type="noConversion"/>
  <pageMargins left="0.19685039370078741" right="0.19685039370078741" top="0.98425196850393704" bottom="0.98425196850393704" header="0.51181102362204722" footer="0.51181102362204722"/>
  <pageSetup paperSize="9" scale="91" fitToHeight="0" orientation="landscape" horizontalDpi="0" verticalDpi="0" r:id="rId1"/>
  <headerFooter alignWithMargins="0">
    <oddFooter>&amp;LAusdruck vom &amp;D&amp;C&amp;A&amp;R&amp;P/&amp;N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theme="6" tint="0.59999389629810485"/>
    <pageSetUpPr fitToPage="1"/>
  </sheetPr>
  <dimension ref="B2:AL50"/>
  <sheetViews>
    <sheetView showGridLines="0" tabSelected="1" showRuler="0" showOutlineSymbols="0" zoomScaleNormal="100" zoomScaleSheetLayoutView="100" zoomScalePageLayoutView="115" workbookViewId="0">
      <selection activeCell="J39" sqref="J39"/>
    </sheetView>
  </sheetViews>
  <sheetFormatPr baseColWidth="10" defaultColWidth="11.42578125" defaultRowHeight="12.75" x14ac:dyDescent="0.2"/>
  <cols>
    <col min="1" max="1" width="2.7109375" style="10" customWidth="1"/>
    <col min="2" max="13" width="8.28515625" style="96" customWidth="1"/>
    <col min="14" max="14" width="8.42578125" style="96" hidden="1" customWidth="1"/>
    <col min="15" max="17" width="8.28515625" style="96" customWidth="1"/>
    <col min="18" max="22" width="8.28515625" style="10" customWidth="1"/>
    <col min="23" max="38" width="11.42578125" style="10" customWidth="1"/>
    <col min="39" max="16384" width="11.42578125" style="10"/>
  </cols>
  <sheetData>
    <row r="2" spans="2:38" ht="15.75" x14ac:dyDescent="0.25">
      <c r="B2" s="93" t="s">
        <v>73</v>
      </c>
      <c r="C2" s="10"/>
      <c r="D2" s="10"/>
      <c r="E2" s="10"/>
      <c r="F2" s="10"/>
      <c r="G2" s="10"/>
      <c r="H2" s="166"/>
      <c r="I2" s="10"/>
      <c r="J2" s="10"/>
      <c r="K2" s="470" t="s">
        <v>388</v>
      </c>
      <c r="M2" s="97">
        <v>2025</v>
      </c>
      <c r="O2" s="98"/>
      <c r="AC2" s="99"/>
    </row>
    <row r="3" spans="2:38" ht="12.75" customHeight="1" x14ac:dyDescent="0.2"/>
    <row r="4" spans="2:38" ht="12.75" customHeight="1" x14ac:dyDescent="0.2">
      <c r="B4" s="94" t="s">
        <v>192</v>
      </c>
      <c r="C4" s="94"/>
      <c r="D4" s="94"/>
      <c r="E4" s="94"/>
      <c r="F4" s="94"/>
      <c r="G4" s="94"/>
      <c r="H4" s="94"/>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row>
    <row r="5" spans="2:38" ht="12.75" customHeight="1" x14ac:dyDescent="0.2"/>
    <row r="6" spans="2:38" ht="12.75" customHeight="1" x14ac:dyDescent="0.2">
      <c r="B6" s="11" t="s">
        <v>233</v>
      </c>
      <c r="C6" s="10"/>
      <c r="D6" s="547" t="s">
        <v>217</v>
      </c>
      <c r="E6" s="547"/>
      <c r="F6" s="547"/>
      <c r="G6" s="101"/>
      <c r="H6" s="546" t="s">
        <v>96</v>
      </c>
      <c r="I6" s="546"/>
      <c r="J6" s="546"/>
      <c r="K6" s="546"/>
      <c r="L6" s="546"/>
      <c r="M6" s="541">
        <f>Formeln!D6</f>
        <v>25</v>
      </c>
      <c r="R6" s="102"/>
      <c r="S6" s="102"/>
      <c r="T6" s="102"/>
      <c r="U6" s="102"/>
      <c r="V6" s="95"/>
      <c r="W6" s="95"/>
    </row>
    <row r="7" spans="2:38" ht="12.75" customHeight="1" x14ac:dyDescent="0.2">
      <c r="B7" s="11" t="s">
        <v>234</v>
      </c>
      <c r="D7" s="548" t="s">
        <v>231</v>
      </c>
      <c r="E7" s="549"/>
      <c r="F7" s="550"/>
      <c r="H7" s="546"/>
      <c r="I7" s="546"/>
      <c r="J7" s="546"/>
      <c r="K7" s="546"/>
      <c r="L7" s="546"/>
      <c r="M7" s="542"/>
      <c r="O7" s="10"/>
      <c r="P7" s="10"/>
      <c r="Q7" s="10"/>
      <c r="V7" s="103"/>
      <c r="W7" s="104"/>
      <c r="AK7" s="95"/>
    </row>
    <row r="8" spans="2:38" ht="12.75" customHeight="1" x14ac:dyDescent="0.2">
      <c r="B8" s="11" t="s">
        <v>235</v>
      </c>
      <c r="C8" s="10"/>
      <c r="D8" s="543">
        <v>1988</v>
      </c>
      <c r="E8" s="544"/>
      <c r="F8" s="545"/>
      <c r="K8" s="105"/>
      <c r="L8" s="105"/>
      <c r="M8" s="105"/>
      <c r="N8" s="103"/>
      <c r="O8" s="103"/>
      <c r="P8" s="103"/>
      <c r="Q8" s="103"/>
      <c r="S8" s="103"/>
      <c r="T8" s="103"/>
      <c r="U8" s="103"/>
      <c r="V8" s="103"/>
      <c r="W8" s="103"/>
    </row>
    <row r="9" spans="2:38" ht="12.75" customHeight="1" x14ac:dyDescent="0.2">
      <c r="B9" s="11"/>
      <c r="C9" s="10"/>
      <c r="D9" s="106"/>
      <c r="E9" s="106"/>
      <c r="F9" s="106"/>
      <c r="K9" s="105"/>
      <c r="L9" s="105"/>
      <c r="M9" s="105"/>
      <c r="N9" s="103"/>
      <c r="O9" s="103"/>
      <c r="P9" s="103"/>
      <c r="Q9" s="103"/>
      <c r="S9" s="103"/>
      <c r="T9" s="103"/>
      <c r="U9" s="103"/>
      <c r="V9" s="103"/>
      <c r="W9" s="103"/>
    </row>
    <row r="10" spans="2:38" ht="12.75" customHeight="1" x14ac:dyDescent="0.2">
      <c r="B10" s="11" t="s">
        <v>17</v>
      </c>
      <c r="C10" s="10"/>
      <c r="D10" s="309"/>
      <c r="E10" s="10"/>
      <c r="F10" s="106"/>
      <c r="H10" s="107" t="s">
        <v>22</v>
      </c>
      <c r="I10" s="107" t="s">
        <v>374</v>
      </c>
      <c r="J10" s="108" t="s">
        <v>56</v>
      </c>
      <c r="L10" s="105"/>
      <c r="M10" s="105"/>
      <c r="N10" s="103"/>
      <c r="O10" s="103"/>
      <c r="P10" s="103"/>
      <c r="Q10" s="103"/>
      <c r="S10" s="103"/>
      <c r="T10" s="103"/>
      <c r="U10" s="103"/>
      <c r="V10" s="103"/>
      <c r="W10" s="103"/>
    </row>
    <row r="11" spans="2:38" ht="12.75" customHeight="1" x14ac:dyDescent="0.2">
      <c r="B11" s="551" t="str">
        <f>CONCATENATE("Guthaben Langzeitkonto per 31.12.",Jahr-1)</f>
        <v>Guthaben Langzeitkonto per 31.12.2024</v>
      </c>
      <c r="C11" s="551"/>
      <c r="D11" s="551"/>
      <c r="E11" s="551"/>
      <c r="F11" s="551"/>
      <c r="G11" s="552"/>
      <c r="H11" s="65"/>
      <c r="I11" s="504"/>
      <c r="J11" s="163">
        <f>H11*TaginSt*I11</f>
        <v>0</v>
      </c>
      <c r="K11" s="111"/>
      <c r="M11" s="105"/>
      <c r="N11" s="103"/>
      <c r="R11" s="96"/>
      <c r="S11" s="103"/>
      <c r="T11" s="103"/>
      <c r="U11" s="103"/>
      <c r="V11" s="103"/>
      <c r="W11" s="103"/>
    </row>
    <row r="12" spans="2:38" ht="12.75" customHeight="1" x14ac:dyDescent="0.2">
      <c r="B12" s="551" t="str">
        <f>CONCATENATE("Gutschrift Dienstjubiläum (Treueprämie) per ",Jahr)</f>
        <v>Gutschrift Dienstjubiläum (Treueprämie) per 2025</v>
      </c>
      <c r="C12" s="551"/>
      <c r="D12" s="551"/>
      <c r="E12" s="551"/>
      <c r="F12" s="551"/>
      <c r="G12" s="551"/>
      <c r="H12" s="65"/>
      <c r="I12" s="503"/>
      <c r="J12" s="164">
        <f>H12*TaginSt*I12</f>
        <v>0</v>
      </c>
      <c r="K12" s="111"/>
      <c r="L12" s="105"/>
      <c r="M12" s="105"/>
      <c r="N12" s="103"/>
      <c r="R12" s="96"/>
      <c r="S12" s="103"/>
      <c r="T12" s="103"/>
      <c r="U12" s="103"/>
      <c r="V12" s="103"/>
      <c r="W12" s="103"/>
    </row>
    <row r="13" spans="2:38" ht="12.75" customHeight="1" x14ac:dyDescent="0.2">
      <c r="B13" s="551" t="str">
        <f>CONCATENATE("Total Guthaben Langzeitkonto per 1.1.",Jahr)</f>
        <v>Total Guthaben Langzeitkonto per 1.1.2025</v>
      </c>
      <c r="C13" s="551"/>
      <c r="D13" s="551"/>
      <c r="E13" s="551"/>
      <c r="F13" s="551"/>
      <c r="G13" s="551"/>
      <c r="I13" s="85"/>
      <c r="J13" s="165">
        <f>SUM(J11:J12)</f>
        <v>0</v>
      </c>
      <c r="K13" s="111"/>
      <c r="L13" s="105"/>
      <c r="M13" s="105"/>
      <c r="N13" s="103"/>
      <c r="R13" s="96"/>
      <c r="S13" s="103"/>
      <c r="T13" s="103"/>
      <c r="U13" s="103"/>
      <c r="V13" s="103"/>
      <c r="W13" s="103"/>
    </row>
    <row r="14" spans="2:38" ht="12" customHeight="1" x14ac:dyDescent="0.2">
      <c r="I14" s="85"/>
      <c r="K14" s="111"/>
      <c r="R14" s="96"/>
      <c r="AK14" s="95"/>
    </row>
    <row r="15" spans="2:38" ht="12.75" customHeight="1" x14ac:dyDescent="0.2">
      <c r="B15" s="11" t="s">
        <v>224</v>
      </c>
      <c r="H15" s="65"/>
      <c r="I15" s="503"/>
      <c r="J15" s="165">
        <f>H15*TaginSt*I15</f>
        <v>0</v>
      </c>
      <c r="K15" s="111"/>
      <c r="R15" s="96"/>
      <c r="AK15" s="95"/>
    </row>
    <row r="16" spans="2:38" ht="12.75" customHeight="1" x14ac:dyDescent="0.2">
      <c r="H16" s="111" t="str">
        <f>IF(Ferienkorrektur&gt;0,"Ferienaufstockung!","")</f>
        <v/>
      </c>
      <c r="R16" s="96"/>
    </row>
    <row r="17" spans="2:26" ht="12.75" customHeight="1" x14ac:dyDescent="0.2">
      <c r="B17" s="11"/>
      <c r="C17" s="10"/>
      <c r="D17" s="10"/>
      <c r="E17" s="10"/>
      <c r="F17" s="10"/>
      <c r="R17" s="96"/>
    </row>
    <row r="18" spans="2:26" ht="12.75" customHeight="1" x14ac:dyDescent="0.2">
      <c r="B18" s="11" t="s">
        <v>232</v>
      </c>
      <c r="C18" s="11"/>
      <c r="D18" s="11"/>
      <c r="E18" s="10"/>
      <c r="F18" s="10"/>
      <c r="G18" s="10"/>
      <c r="H18" s="10"/>
      <c r="I18" s="10"/>
      <c r="J18" s="10"/>
      <c r="K18" s="10"/>
      <c r="L18" s="10"/>
      <c r="M18" s="10"/>
      <c r="N18" s="10"/>
      <c r="R18" s="96"/>
    </row>
    <row r="19" spans="2:26" ht="12.75" customHeight="1" x14ac:dyDescent="0.2">
      <c r="B19" s="109" t="s">
        <v>94</v>
      </c>
      <c r="C19" s="110"/>
      <c r="D19" s="110"/>
      <c r="E19" s="109" t="s">
        <v>95</v>
      </c>
      <c r="F19" s="109"/>
      <c r="G19" s="109"/>
      <c r="H19" s="110"/>
      <c r="J19" s="31" t="s">
        <v>99</v>
      </c>
      <c r="K19" s="32"/>
      <c r="L19" s="23" t="s">
        <v>102</v>
      </c>
      <c r="M19" s="25"/>
      <c r="N19" s="24"/>
      <c r="O19" s="24"/>
      <c r="P19" s="10"/>
      <c r="Q19" s="10"/>
      <c r="V19" s="24"/>
    </row>
    <row r="20" spans="2:26" ht="36.75" customHeight="1" x14ac:dyDescent="0.2">
      <c r="B20" s="15" t="s">
        <v>97</v>
      </c>
      <c r="C20" s="15" t="s">
        <v>7</v>
      </c>
      <c r="D20" s="15" t="s">
        <v>98</v>
      </c>
      <c r="E20" s="16" t="s">
        <v>97</v>
      </c>
      <c r="F20" s="16" t="s">
        <v>7</v>
      </c>
      <c r="G20" s="16" t="s">
        <v>98</v>
      </c>
      <c r="H20" s="15" t="s">
        <v>375</v>
      </c>
      <c r="I20" s="15" t="s">
        <v>22</v>
      </c>
      <c r="J20" s="17" t="s">
        <v>75</v>
      </c>
      <c r="K20" s="17" t="s">
        <v>100</v>
      </c>
      <c r="L20" s="26" t="s">
        <v>105</v>
      </c>
      <c r="M20" s="19" t="s">
        <v>101</v>
      </c>
      <c r="N20" s="19" t="s">
        <v>196</v>
      </c>
      <c r="O20" s="10"/>
      <c r="P20" s="10"/>
      <c r="Q20" s="10"/>
    </row>
    <row r="21" spans="2:26" ht="12.75" customHeight="1" x14ac:dyDescent="0.2">
      <c r="B21" s="157">
        <v>1</v>
      </c>
      <c r="C21" s="157">
        <v>1</v>
      </c>
      <c r="D21" s="27">
        <f>IF(OR(ISBLANK(B21),ISBLANK(C21)),0,Jahr)</f>
        <v>2025</v>
      </c>
      <c r="E21" s="157">
        <v>31</v>
      </c>
      <c r="F21" s="157">
        <v>12</v>
      </c>
      <c r="G21" s="27">
        <f t="shared" ref="G21:G25" si="0">IF(OR(ISBLANK(E21),ISBLANK(F21)),0,Jahr)</f>
        <v>2025</v>
      </c>
      <c r="H21" s="503">
        <v>0.8</v>
      </c>
      <c r="I21" s="18">
        <f>IF(AND(B21&lt;&gt;"",C21&lt;&gt;"",E21&lt;&gt;"",F21&lt;&gt;"",H21&lt;&gt;""),DATE(G21,F21,E21)-DATE(D21,C21,B21)+1,"")</f>
        <v>365</v>
      </c>
      <c r="J21" s="14">
        <f t="shared" ref="J21:J25" si="1">IF(OR(I21="", H21=0),0, Ferienanspruch/AAnzTage*I21)</f>
        <v>25</v>
      </c>
      <c r="K21" s="14">
        <f>IF(I21&lt;&gt;"",(Ferienanspruch/AAnzTage*I21*TaginSt*H21),0)</f>
        <v>168</v>
      </c>
      <c r="L21" s="92">
        <f>IF(H21&lt;&gt;"",H21*I21/AAnzTage*100,"")</f>
        <v>80</v>
      </c>
      <c r="M21" s="36">
        <f>IF(OR(ISBLANK(I21), J21=0), "", K21/J21)</f>
        <v>6.72</v>
      </c>
      <c r="N21" s="18">
        <f>IF(BGrad1=0,0,I21)</f>
        <v>365</v>
      </c>
      <c r="O21" s="10"/>
      <c r="P21" s="10"/>
      <c r="Q21" s="10"/>
    </row>
    <row r="22" spans="2:26" ht="12.75" customHeight="1" x14ac:dyDescent="0.2">
      <c r="B22" s="157"/>
      <c r="C22" s="157"/>
      <c r="D22" s="27">
        <f t="shared" ref="D22:D25" si="2">IF(OR(ISBLANK(B22),ISBLANK(C22)),0,Jahr)</f>
        <v>0</v>
      </c>
      <c r="E22" s="157"/>
      <c r="F22" s="157"/>
      <c r="G22" s="27">
        <f t="shared" si="0"/>
        <v>0</v>
      </c>
      <c r="H22" s="503"/>
      <c r="I22" s="18" t="str">
        <f>IF(AND(B22&lt;&gt;"",C22&lt;&gt;"",E22&lt;&gt;"",F22&lt;&gt;"",H22&lt;&gt;""),DATE(G22,F22,E22)-DATE(D22,C22,B22)+1,"")</f>
        <v/>
      </c>
      <c r="J22" s="14">
        <f t="shared" si="1"/>
        <v>0</v>
      </c>
      <c r="K22" s="14">
        <f>IF(I22&lt;&gt;"",(Ferienanspruch/AAnzTage*I22*TaginSt*H22),0)</f>
        <v>0</v>
      </c>
      <c r="L22" s="92" t="str">
        <f>IF(H22&lt;&gt;"",H22*I22/AAnzTage*100+L21,"")</f>
        <v/>
      </c>
      <c r="M22" s="36" t="str">
        <f>IF(OR(ISBLANK(I22), J22=0), "", K22/J22)</f>
        <v/>
      </c>
      <c r="N22" s="18">
        <f>IF(BGrad2=0,0,I22)</f>
        <v>0</v>
      </c>
      <c r="O22" s="10"/>
      <c r="P22" s="10"/>
      <c r="Q22" s="10"/>
    </row>
    <row r="23" spans="2:26" ht="12.75" customHeight="1" x14ac:dyDescent="0.2">
      <c r="B23" s="157"/>
      <c r="C23" s="157"/>
      <c r="D23" s="27">
        <f t="shared" si="2"/>
        <v>0</v>
      </c>
      <c r="E23" s="157"/>
      <c r="F23" s="157"/>
      <c r="G23" s="27">
        <f t="shared" si="0"/>
        <v>0</v>
      </c>
      <c r="H23" s="503"/>
      <c r="I23" s="18" t="str">
        <f t="shared" ref="I23:I25" si="3">IF(AND(B23&lt;&gt;"",C23&lt;&gt;"",E23&lt;&gt;"",F23&lt;&gt;"",H23&lt;&gt;""),DATE(G23,F23,E23)-DATE(D23,C23,B23)+1,"")</f>
        <v/>
      </c>
      <c r="J23" s="14">
        <f t="shared" si="1"/>
        <v>0</v>
      </c>
      <c r="K23" s="14">
        <f>IF(I23&lt;&gt;"",(Ferienanspruch/AAnzTage*I23*TaginSt*H23),0)</f>
        <v>0</v>
      </c>
      <c r="L23" s="92" t="str">
        <f>IF(H23&lt;&gt;"",H23*I23/AAnzTage*100+L22,"")</f>
        <v/>
      </c>
      <c r="M23" s="36" t="str">
        <f>IF(OR(ISBLANK(I23), J23=0), "", K23/J23)</f>
        <v/>
      </c>
      <c r="N23" s="18">
        <f>IF(BGrad3=0,0,I23)</f>
        <v>0</v>
      </c>
      <c r="O23" s="10"/>
      <c r="P23" s="10"/>
      <c r="Q23" s="10"/>
    </row>
    <row r="24" spans="2:26" ht="12.75" customHeight="1" x14ac:dyDescent="0.2">
      <c r="B24" s="157"/>
      <c r="C24" s="157"/>
      <c r="D24" s="27">
        <f t="shared" si="2"/>
        <v>0</v>
      </c>
      <c r="E24" s="157"/>
      <c r="F24" s="157"/>
      <c r="G24" s="27">
        <f t="shared" si="0"/>
        <v>0</v>
      </c>
      <c r="H24" s="503"/>
      <c r="I24" s="18" t="str">
        <f t="shared" si="3"/>
        <v/>
      </c>
      <c r="J24" s="14">
        <f t="shared" si="1"/>
        <v>0</v>
      </c>
      <c r="K24" s="14">
        <f>IF(I24&lt;&gt;"",(Ferienanspruch/AAnzTage*I24*TaginSt*H24),0)</f>
        <v>0</v>
      </c>
      <c r="L24" s="92" t="str">
        <f>IF(H24&lt;&gt;"",H24*I24/AAnzTage*100+L23,"")</f>
        <v/>
      </c>
      <c r="M24" s="36" t="str">
        <f>IF(OR(ISBLANK(I24), J24=0), "", K24/J24)</f>
        <v/>
      </c>
      <c r="N24" s="18">
        <f>IF(BGrad4=0,0,I24)</f>
        <v>0</v>
      </c>
      <c r="O24" s="24"/>
      <c r="P24" s="10"/>
      <c r="Q24" s="10"/>
      <c r="V24" s="13"/>
    </row>
    <row r="25" spans="2:26" ht="12.75" customHeight="1" x14ac:dyDescent="0.2">
      <c r="B25" s="157"/>
      <c r="C25" s="157"/>
      <c r="D25" s="27">
        <f t="shared" si="2"/>
        <v>0</v>
      </c>
      <c r="E25" s="157"/>
      <c r="F25" s="157"/>
      <c r="G25" s="27">
        <f t="shared" si="0"/>
        <v>0</v>
      </c>
      <c r="H25" s="503"/>
      <c r="I25" s="18" t="str">
        <f t="shared" si="3"/>
        <v/>
      </c>
      <c r="J25" s="14">
        <f t="shared" si="1"/>
        <v>0</v>
      </c>
      <c r="K25" s="14">
        <f>IF(I25&lt;&gt;"",(Ferienanspruch/AAnzTage*I25*TaginSt*H25),0)</f>
        <v>0</v>
      </c>
      <c r="L25" s="92" t="str">
        <f>IF(H25&lt;&gt;"",H25*I25/AAnzTage*100+L24,"")</f>
        <v/>
      </c>
      <c r="M25" s="36" t="str">
        <f>IF(OR(ISBLANK(I25), J25=0), "", K25/J25)</f>
        <v/>
      </c>
      <c r="N25" s="18">
        <f>IF(BGrad5=0,0,I25)</f>
        <v>0</v>
      </c>
      <c r="O25" s="24"/>
      <c r="P25" s="10"/>
      <c r="Q25" s="10"/>
      <c r="V25" s="13"/>
    </row>
    <row r="26" spans="2:26" ht="12.75" customHeight="1" x14ac:dyDescent="0.2">
      <c r="B26" s="111" t="str">
        <f>IF(JahresBG=0,"Eingabe unvollständig!",IF(AND(I26&lt;AAnzTage,I26&lt;&gt;0)," Dienstjahr unvollständig oder BG fehlt!",IF(I26&gt;AAnzTage," Mehr Diensttage als erlaubt!","")))</f>
        <v/>
      </c>
      <c r="D26" s="10"/>
      <c r="E26" s="111"/>
      <c r="F26" s="10"/>
      <c r="G26" s="10"/>
      <c r="H26" s="505">
        <f>IFERROR(((IF(OR(ISBLANK(H21),H21=0),,(H21*I21)))+(IF(OR(ISBLANK(H22),H22=0),,(H22*I22)))+(IF(OR(ISBLANK(H23),H23=0),,(H23*I23)))+(IF(OR(ISBLANK(H24),H24=0),,(H24*I24)))+(IF(OR(ISBLANK(H25),H25=0),,(H25*I25))))/TageBGeffektiv,0)</f>
        <v>0.8</v>
      </c>
      <c r="I26" s="20">
        <f>SUM(I21:I25)</f>
        <v>365</v>
      </c>
      <c r="J26" s="21">
        <f>SUM(J21:J25)</f>
        <v>25</v>
      </c>
      <c r="K26" s="35">
        <f>SUM(K21:K25)</f>
        <v>168</v>
      </c>
      <c r="L26" s="22"/>
      <c r="M26" s="37"/>
      <c r="N26" s="20">
        <f>SUM(N21:N25)</f>
        <v>365</v>
      </c>
      <c r="O26" s="10"/>
      <c r="P26" s="10"/>
      <c r="Q26" s="10"/>
      <c r="X26" s="12"/>
    </row>
    <row r="27" spans="2:26" ht="12.75" customHeight="1" x14ac:dyDescent="0.2">
      <c r="B27" s="111"/>
      <c r="D27" s="10"/>
      <c r="E27" s="111"/>
      <c r="F27" s="10"/>
      <c r="G27" s="10"/>
      <c r="H27" s="33"/>
      <c r="I27" s="11"/>
      <c r="J27" s="33"/>
      <c r="K27" s="34"/>
      <c r="L27" s="33"/>
      <c r="M27" s="34"/>
      <c r="N27" s="34"/>
      <c r="O27" s="10"/>
      <c r="P27" s="10"/>
      <c r="Q27" s="10"/>
      <c r="Z27" s="12"/>
    </row>
    <row r="28" spans="2:26" ht="12.75" customHeight="1" x14ac:dyDescent="0.2">
      <c r="L28" s="10"/>
      <c r="M28" s="9"/>
      <c r="N28" s="9"/>
      <c r="O28" s="10"/>
      <c r="P28" s="10"/>
      <c r="Q28" s="10"/>
    </row>
    <row r="29" spans="2:26" ht="12.75" customHeight="1" thickBot="1" x14ac:dyDescent="0.25">
      <c r="C29" s="112"/>
      <c r="D29" s="112"/>
      <c r="E29" s="113"/>
      <c r="F29" s="113"/>
      <c r="G29" s="113"/>
      <c r="H29" s="114"/>
      <c r="I29" s="114"/>
      <c r="J29" s="114"/>
      <c r="K29" s="115"/>
      <c r="L29" s="115"/>
      <c r="M29" s="115"/>
      <c r="N29" s="116"/>
      <c r="O29" s="113"/>
      <c r="P29" s="113"/>
      <c r="Q29" s="113"/>
      <c r="R29" s="113"/>
      <c r="S29" s="114"/>
      <c r="T29" s="114"/>
      <c r="U29" s="114"/>
      <c r="V29" s="115"/>
    </row>
    <row r="30" spans="2:26" x14ac:dyDescent="0.2">
      <c r="B30" s="117" t="s">
        <v>5</v>
      </c>
      <c r="C30" s="117"/>
      <c r="D30" s="117"/>
      <c r="E30" s="530" t="s">
        <v>0</v>
      </c>
      <c r="F30" s="531"/>
      <c r="G30" s="532"/>
      <c r="H30" s="530" t="s">
        <v>1</v>
      </c>
      <c r="I30" s="531"/>
      <c r="J30" s="532"/>
      <c r="K30" s="530" t="s">
        <v>6</v>
      </c>
      <c r="L30" s="531"/>
      <c r="M30" s="532"/>
      <c r="N30" s="11"/>
      <c r="O30" s="11"/>
      <c r="P30" s="11"/>
      <c r="Q30" s="11"/>
      <c r="R30" s="11"/>
    </row>
    <row r="31" spans="2:26" ht="35.25" customHeight="1" thickBot="1" x14ac:dyDescent="0.25">
      <c r="B31" s="118"/>
      <c r="C31" s="118"/>
      <c r="D31" s="118"/>
      <c r="E31" s="119" t="s">
        <v>239</v>
      </c>
      <c r="F31" s="120" t="s">
        <v>75</v>
      </c>
      <c r="G31" s="121" t="s">
        <v>110</v>
      </c>
      <c r="H31" s="119" t="s">
        <v>76</v>
      </c>
      <c r="I31" s="120" t="s">
        <v>75</v>
      </c>
      <c r="J31" s="121" t="s">
        <v>110</v>
      </c>
      <c r="K31" s="119" t="s">
        <v>76</v>
      </c>
      <c r="L31" s="120" t="s">
        <v>75</v>
      </c>
      <c r="M31" s="121" t="s">
        <v>110</v>
      </c>
      <c r="N31" s="11"/>
      <c r="O31" s="11"/>
      <c r="P31" s="11"/>
      <c r="Q31" s="11"/>
      <c r="R31" s="11"/>
    </row>
    <row r="32" spans="2:26" x14ac:dyDescent="0.2">
      <c r="B32" s="122" t="s">
        <v>226</v>
      </c>
      <c r="C32" s="123"/>
      <c r="D32" s="123"/>
      <c r="E32" s="124">
        <f>F32*H26</f>
        <v>20</v>
      </c>
      <c r="F32" s="125">
        <f>J26</f>
        <v>25</v>
      </c>
      <c r="G32" s="515">
        <f>K26</f>
        <v>168</v>
      </c>
      <c r="H32" s="126"/>
      <c r="I32" s="127"/>
      <c r="J32" s="128"/>
      <c r="K32" s="126"/>
      <c r="L32" s="127"/>
      <c r="M32" s="128"/>
      <c r="N32" s="11"/>
      <c r="O32" s="11"/>
      <c r="P32" s="11"/>
      <c r="Q32" s="11"/>
      <c r="R32" s="11"/>
    </row>
    <row r="33" spans="2:38" x14ac:dyDescent="0.2">
      <c r="B33" s="129" t="s">
        <v>167</v>
      </c>
      <c r="C33" s="130"/>
      <c r="D33" s="130"/>
      <c r="E33" s="131">
        <f>Ferienkorrektur/TaginSt</f>
        <v>0</v>
      </c>
      <c r="F33" s="132">
        <f>IFERROR(E33/JahresBG,0)</f>
        <v>0</v>
      </c>
      <c r="G33" s="133">
        <f>Ferienkorrektur</f>
        <v>0</v>
      </c>
      <c r="H33" s="134"/>
      <c r="I33" s="135"/>
      <c r="J33" s="136"/>
      <c r="K33" s="134"/>
      <c r="L33" s="135"/>
      <c r="M33" s="136"/>
      <c r="N33" s="11"/>
      <c r="O33" s="11"/>
      <c r="P33" s="11"/>
      <c r="Q33" s="11"/>
      <c r="R33" s="11"/>
    </row>
    <row r="34" spans="2:38" ht="27" customHeight="1" thickBot="1" x14ac:dyDescent="0.25">
      <c r="B34" s="536" t="s">
        <v>28</v>
      </c>
      <c r="C34" s="537"/>
      <c r="D34" s="537"/>
      <c r="E34" s="516">
        <f>SUM(E32:E33)</f>
        <v>20</v>
      </c>
      <c r="F34" s="517">
        <f>SUM(F32:F33)</f>
        <v>25</v>
      </c>
      <c r="G34" s="518">
        <f>SUM(G32:G33)</f>
        <v>168</v>
      </c>
      <c r="H34" s="516">
        <f>J34/TaginSt</f>
        <v>0</v>
      </c>
      <c r="I34" s="517">
        <f>IFERROR(H34/JahresBG,0)</f>
        <v>0</v>
      </c>
      <c r="J34" s="518">
        <f>Zusammenzug!P30</f>
        <v>0</v>
      </c>
      <c r="K34" s="137">
        <f>E34-H34</f>
        <v>20</v>
      </c>
      <c r="L34" s="138">
        <f>F34-I34</f>
        <v>25</v>
      </c>
      <c r="M34" s="139">
        <f>G34-J34</f>
        <v>168</v>
      </c>
      <c r="N34" s="11"/>
      <c r="O34" s="11"/>
      <c r="P34" s="11"/>
      <c r="Q34" s="11"/>
      <c r="R34" s="11"/>
    </row>
    <row r="35" spans="2:38" ht="27" customHeight="1" thickBot="1" x14ac:dyDescent="0.25">
      <c r="B35" s="117"/>
      <c r="C35" s="117"/>
      <c r="D35" s="117"/>
      <c r="E35" s="525"/>
      <c r="F35" s="525"/>
      <c r="G35" s="525"/>
      <c r="H35" s="525"/>
      <c r="I35" s="525"/>
      <c r="J35" s="525"/>
      <c r="K35" s="299"/>
      <c r="L35" s="299"/>
      <c r="M35" s="299"/>
      <c r="N35" s="11"/>
      <c r="O35" s="11"/>
      <c r="P35" s="11"/>
      <c r="Q35" s="11"/>
      <c r="R35" s="11"/>
    </row>
    <row r="36" spans="2:38" x14ac:dyDescent="0.2">
      <c r="B36" s="117" t="s">
        <v>72</v>
      </c>
      <c r="C36" s="117"/>
      <c r="D36" s="117"/>
      <c r="E36" s="530" t="s">
        <v>0</v>
      </c>
      <c r="F36" s="531"/>
      <c r="G36" s="532"/>
      <c r="H36" s="530" t="s">
        <v>1</v>
      </c>
      <c r="I36" s="531"/>
      <c r="J36" s="532"/>
      <c r="K36" s="530" t="s">
        <v>6</v>
      </c>
      <c r="L36" s="531"/>
      <c r="M36" s="532"/>
      <c r="N36" s="11"/>
      <c r="O36" s="11"/>
      <c r="P36" s="11"/>
      <c r="Q36" s="11"/>
      <c r="R36" s="11"/>
    </row>
    <row r="37" spans="2:38" ht="35.25" customHeight="1" thickBot="1" x14ac:dyDescent="0.25">
      <c r="B37" s="118"/>
      <c r="C37" s="118"/>
      <c r="D37" s="118"/>
      <c r="E37" s="119" t="s">
        <v>239</v>
      </c>
      <c r="F37" s="120" t="s">
        <v>75</v>
      </c>
      <c r="G37" s="121" t="s">
        <v>110</v>
      </c>
      <c r="H37" s="119" t="s">
        <v>76</v>
      </c>
      <c r="I37" s="120" t="s">
        <v>75</v>
      </c>
      <c r="J37" s="121" t="s">
        <v>110</v>
      </c>
      <c r="K37" s="119" t="s">
        <v>76</v>
      </c>
      <c r="L37" s="120" t="s">
        <v>75</v>
      </c>
      <c r="M37" s="121" t="s">
        <v>110</v>
      </c>
      <c r="N37" s="11"/>
      <c r="O37" s="11"/>
      <c r="P37" s="11"/>
      <c r="Q37" s="11"/>
      <c r="R37" s="11"/>
    </row>
    <row r="38" spans="2:38" ht="38.25" customHeight="1" thickBot="1" x14ac:dyDescent="0.25">
      <c r="B38" s="538" t="s">
        <v>384</v>
      </c>
      <c r="C38" s="539"/>
      <c r="D38" s="540"/>
      <c r="E38" s="140">
        <f>G38/TaginSt</f>
        <v>52.000000000000007</v>
      </c>
      <c r="F38" s="141"/>
      <c r="G38" s="142">
        <f>Zusammenzug!P6</f>
        <v>436.80000000000007</v>
      </c>
      <c r="H38" s="140">
        <f>J38/TaginSt</f>
        <v>52.000000000000007</v>
      </c>
      <c r="I38" s="143"/>
      <c r="J38" s="144">
        <f>Zusammenzug!P39</f>
        <v>436.80000000000007</v>
      </c>
      <c r="K38" s="140">
        <f>M38/TaginSt</f>
        <v>0</v>
      </c>
      <c r="L38" s="143"/>
      <c r="M38" s="144">
        <f>G38-J38</f>
        <v>0</v>
      </c>
      <c r="N38" s="112"/>
      <c r="O38" s="112"/>
      <c r="P38" s="112"/>
      <c r="Q38" s="112"/>
      <c r="R38" s="112"/>
      <c r="S38" s="153"/>
      <c r="T38" s="153"/>
      <c r="U38" s="153"/>
      <c r="V38" s="153"/>
      <c r="W38" s="153"/>
      <c r="X38" s="153"/>
      <c r="Y38" s="153"/>
      <c r="Z38" s="153"/>
      <c r="AA38" s="153"/>
      <c r="AB38" s="153"/>
      <c r="AC38" s="153"/>
      <c r="AD38" s="153"/>
      <c r="AE38" s="153"/>
      <c r="AF38" s="153"/>
      <c r="AG38" s="153"/>
      <c r="AH38" s="153"/>
      <c r="AI38" s="153"/>
      <c r="AJ38" s="153"/>
      <c r="AK38" s="153"/>
      <c r="AL38" s="153"/>
    </row>
    <row r="39" spans="2:38" ht="33.75" customHeight="1" thickBot="1" x14ac:dyDescent="0.25">
      <c r="B39" s="533" t="s">
        <v>74</v>
      </c>
      <c r="C39" s="534"/>
      <c r="D39" s="535"/>
      <c r="E39" s="140">
        <f>G39/TaginSt</f>
        <v>50.199999999999996</v>
      </c>
      <c r="F39" s="141"/>
      <c r="G39" s="142">
        <f>Zusammenzug!P7</f>
        <v>421.68</v>
      </c>
      <c r="H39" s="145">
        <f>J39/TaginSt</f>
        <v>251.00000000000006</v>
      </c>
      <c r="I39" s="146"/>
      <c r="J39" s="147">
        <f>Zusammenzug!P40</f>
        <v>2108.4000000000005</v>
      </c>
      <c r="K39" s="140">
        <f>M39/TaginSt</f>
        <v>-200.80000000000004</v>
      </c>
      <c r="L39" s="146"/>
      <c r="M39" s="147">
        <f>G39-J39</f>
        <v>-1686.7200000000005</v>
      </c>
      <c r="N39" s="112"/>
      <c r="O39" s="112"/>
      <c r="P39" s="112"/>
      <c r="Q39" s="112"/>
      <c r="R39" s="112"/>
      <c r="S39" s="153"/>
      <c r="T39" s="153"/>
      <c r="U39" s="153"/>
      <c r="V39" s="153"/>
      <c r="W39" s="153"/>
      <c r="X39" s="153"/>
      <c r="Y39" s="153"/>
      <c r="Z39" s="153"/>
      <c r="AA39" s="153"/>
      <c r="AB39" s="153"/>
      <c r="AC39" s="153"/>
      <c r="AD39" s="153"/>
      <c r="AE39" s="153"/>
      <c r="AF39" s="153"/>
      <c r="AG39" s="153"/>
      <c r="AH39" s="153"/>
      <c r="AI39" s="153"/>
      <c r="AJ39" s="153"/>
      <c r="AK39" s="153"/>
      <c r="AL39" s="153"/>
    </row>
    <row r="40" spans="2:38" ht="39.75" customHeight="1" thickBot="1" x14ac:dyDescent="0.25">
      <c r="B40" s="538" t="s">
        <v>227</v>
      </c>
      <c r="C40" s="539"/>
      <c r="D40" s="540"/>
      <c r="E40" s="519">
        <f>G40/TaginSt</f>
        <v>0</v>
      </c>
      <c r="F40" s="520">
        <f>IFERROR(E40/JahresBG,0)</f>
        <v>0</v>
      </c>
      <c r="G40" s="142">
        <f>Zusammenzug!P42</f>
        <v>0</v>
      </c>
      <c r="H40" s="521"/>
      <c r="I40" s="522"/>
      <c r="J40" s="523"/>
      <c r="K40" s="524">
        <f>E40</f>
        <v>0</v>
      </c>
      <c r="L40" s="522"/>
      <c r="M40" s="142">
        <f>G40</f>
        <v>0</v>
      </c>
      <c r="N40" s="95"/>
      <c r="O40" s="95"/>
      <c r="P40" s="95"/>
      <c r="Q40" s="95"/>
      <c r="S40" s="154"/>
      <c r="T40" s="154"/>
      <c r="U40" s="154"/>
      <c r="V40" s="154"/>
      <c r="W40" s="154"/>
      <c r="X40" s="155"/>
      <c r="Y40" s="155"/>
      <c r="Z40" s="155"/>
      <c r="AA40" s="154"/>
      <c r="AD40" s="154"/>
      <c r="AG40" s="154"/>
      <c r="AJ40" s="154"/>
    </row>
    <row r="41" spans="2:38" ht="35.25" customHeight="1" thickBot="1" x14ac:dyDescent="0.25">
      <c r="B41" s="513" t="s">
        <v>383</v>
      </c>
      <c r="C41" s="514"/>
      <c r="D41" s="514"/>
      <c r="E41" s="148">
        <f>SUM(E38:E40)</f>
        <v>102.2</v>
      </c>
      <c r="F41" s="149"/>
      <c r="G41" s="150">
        <f>SUM(G38:G40)</f>
        <v>858.48</v>
      </c>
      <c r="H41" s="148">
        <f>SUM(H38:H39)</f>
        <v>303.00000000000006</v>
      </c>
      <c r="I41" s="149"/>
      <c r="J41" s="150">
        <f>SUM(J38:J40)</f>
        <v>2545.2000000000007</v>
      </c>
      <c r="K41" s="151">
        <f>SUM(K38:K40)</f>
        <v>-200.80000000000004</v>
      </c>
      <c r="L41" s="143"/>
      <c r="M41" s="152">
        <f>SUM(M38:M40)</f>
        <v>-1686.7200000000005</v>
      </c>
      <c r="N41" s="95"/>
      <c r="O41" s="156"/>
      <c r="P41" s="156"/>
      <c r="Q41" s="156"/>
      <c r="R41" s="156"/>
      <c r="S41" s="154"/>
      <c r="T41" s="154"/>
      <c r="U41" s="154"/>
      <c r="V41" s="154"/>
      <c r="W41" s="154"/>
      <c r="X41" s="155"/>
      <c r="Y41" s="155"/>
      <c r="Z41" s="155"/>
    </row>
    <row r="42" spans="2:38" x14ac:dyDescent="0.2">
      <c r="O42" s="156"/>
      <c r="P42" s="156"/>
      <c r="Q42" s="156"/>
      <c r="R42" s="156"/>
      <c r="S42" s="154"/>
      <c r="T42" s="154"/>
      <c r="U42" s="154"/>
      <c r="V42" s="154"/>
      <c r="W42" s="154"/>
      <c r="X42" s="155"/>
      <c r="Y42" s="155"/>
      <c r="Z42" s="155"/>
    </row>
    <row r="43" spans="2:38" x14ac:dyDescent="0.2">
      <c r="B43" s="10"/>
      <c r="C43" s="10"/>
      <c r="D43" s="10"/>
      <c r="E43" s="10"/>
      <c r="F43" s="10"/>
      <c r="G43" s="10"/>
      <c r="H43" s="10"/>
      <c r="I43" s="10"/>
      <c r="J43" s="10"/>
      <c r="K43" s="10"/>
      <c r="L43" s="10"/>
      <c r="M43" s="10"/>
      <c r="N43" s="10"/>
      <c r="O43" s="10"/>
      <c r="P43" s="10"/>
      <c r="Q43" s="10"/>
    </row>
    <row r="44" spans="2:38" x14ac:dyDescent="0.2">
      <c r="B44" s="10"/>
      <c r="C44" s="10"/>
      <c r="D44" s="10"/>
      <c r="E44" s="10"/>
      <c r="F44" s="10"/>
      <c r="G44" s="10"/>
      <c r="H44" s="10"/>
      <c r="I44" s="10"/>
      <c r="J44" s="10"/>
      <c r="K44" s="10"/>
      <c r="L44" s="10"/>
      <c r="M44" s="10"/>
      <c r="N44" s="10"/>
      <c r="O44" s="10"/>
      <c r="P44" s="10"/>
      <c r="Q44" s="10"/>
    </row>
    <row r="45" spans="2:38" x14ac:dyDescent="0.2">
      <c r="B45" s="10"/>
      <c r="C45" s="10"/>
      <c r="D45" s="10"/>
      <c r="E45" s="10"/>
      <c r="F45" s="10"/>
      <c r="G45" s="10"/>
      <c r="H45" s="10"/>
      <c r="I45" s="10"/>
      <c r="J45" s="10"/>
      <c r="K45" s="10"/>
      <c r="L45" s="10"/>
      <c r="M45" s="10"/>
      <c r="N45" s="10"/>
      <c r="O45" s="10"/>
      <c r="P45" s="10"/>
      <c r="Q45" s="10"/>
    </row>
    <row r="46" spans="2:38" x14ac:dyDescent="0.2">
      <c r="B46" s="10"/>
      <c r="C46" s="10"/>
      <c r="D46" s="10"/>
      <c r="E46" s="10"/>
      <c r="F46" s="10"/>
      <c r="G46" s="10"/>
      <c r="H46" s="10"/>
      <c r="I46" s="10"/>
      <c r="J46" s="10"/>
      <c r="K46" s="10"/>
      <c r="L46" s="10"/>
      <c r="M46" s="10"/>
      <c r="N46" s="10"/>
      <c r="O46" s="10"/>
      <c r="P46" s="10"/>
      <c r="Q46" s="10"/>
    </row>
    <row r="47" spans="2:38" x14ac:dyDescent="0.2">
      <c r="B47" s="10"/>
      <c r="C47" s="10"/>
      <c r="D47" s="10"/>
      <c r="E47" s="10"/>
      <c r="F47" s="10"/>
      <c r="G47" s="10"/>
      <c r="H47" s="10"/>
      <c r="I47" s="10"/>
      <c r="J47" s="10"/>
      <c r="K47" s="10"/>
      <c r="L47" s="10"/>
      <c r="M47" s="10"/>
      <c r="N47" s="10"/>
      <c r="O47" s="10"/>
      <c r="P47" s="10"/>
      <c r="Q47" s="10"/>
    </row>
    <row r="48" spans="2:38" x14ac:dyDescent="0.2">
      <c r="B48" s="10"/>
      <c r="C48" s="10"/>
      <c r="D48" s="10"/>
      <c r="E48" s="10"/>
      <c r="F48" s="10"/>
      <c r="G48" s="10"/>
      <c r="H48" s="10"/>
      <c r="I48" s="10"/>
      <c r="J48" s="10"/>
      <c r="K48" s="10"/>
      <c r="L48" s="10"/>
      <c r="M48" s="10"/>
      <c r="N48" s="10"/>
      <c r="O48" s="10"/>
      <c r="P48" s="10"/>
      <c r="Q48" s="10"/>
    </row>
    <row r="49" s="10" customFormat="1" x14ac:dyDescent="0.2"/>
    <row r="50" s="10" customFormat="1" x14ac:dyDescent="0.2"/>
  </sheetData>
  <sheetProtection algorithmName="SHA-512" hashValue="JWlnhtz1U6xM9bf/g14GSfHE5XCsSszeUBO2lcuKKyx/GIiNPxjgUXcdy5acSu3IbSmwGPAAT7slrhW+T6GSbg==" saltValue="VW9GOtqFh7hp3Np9WUjDuQ==" spinCount="100000" sheet="1" objects="1" scenarios="1"/>
  <mergeCells count="18">
    <mergeCell ref="B40:D40"/>
    <mergeCell ref="B12:G12"/>
    <mergeCell ref="B11:G11"/>
    <mergeCell ref="B13:G13"/>
    <mergeCell ref="H30:J30"/>
    <mergeCell ref="E30:G30"/>
    <mergeCell ref="M6:M7"/>
    <mergeCell ref="D8:F8"/>
    <mergeCell ref="H6:L7"/>
    <mergeCell ref="D6:F6"/>
    <mergeCell ref="D7:F7"/>
    <mergeCell ref="K30:M30"/>
    <mergeCell ref="B39:D39"/>
    <mergeCell ref="B34:D34"/>
    <mergeCell ref="B38:D38"/>
    <mergeCell ref="E36:G36"/>
    <mergeCell ref="H36:J36"/>
    <mergeCell ref="K36:M36"/>
  </mergeCells>
  <phoneticPr fontId="0" type="noConversion"/>
  <dataValidations count="5">
    <dataValidation allowBlank="1" showInputMessage="1" showErrorMessage="1" promptTitle="Ferienkorrektur" prompt="Bitte Vorzeichen beachten. Die Ferienkorrektur wird unabhängig des Anstellungsgrads in Ganzutagen à 8,4 Stunden. " sqref="S42:W42" xr:uid="{1046A901-0369-4627-9AF0-5D36AD6C8FDE}"/>
    <dataValidation type="date" allowBlank="1" showInputMessage="1" showErrorMessage="1" sqref="P16" xr:uid="{ED38F2BF-7238-4E22-BD6B-1A04E22AF64C}">
      <formula1>DATE(Jahr,1,1)</formula1>
      <formula2>DATE(Jahr,12,31)</formula2>
    </dataValidation>
    <dataValidation type="date" allowBlank="1" showInputMessage="1" showErrorMessage="1" sqref="B21" xr:uid="{8C7C4987-36A2-4E8C-8AC0-FF8810F19C77}">
      <formula1>DATE(D21,C21,1)</formula1>
      <formula2>DATE(G21,F21,31)</formula2>
    </dataValidation>
    <dataValidation type="decimal" errorStyle="information" operator="lessThan" allowBlank="1" showInputMessage="1" showErrorMessage="1" errorTitle="Aufstockung statt Kürzung!" error="Ohne negatives Vorzeichen werden die Ferien aufgestockt und nicht gekürzt!" promptTitle="Ferienkorrrektur" prompt="Bei einer Ferienkürzung muss ein Minuszeichen vor die Anzahl Tage gesetzt werden!_x000a_z.B. -3 Tage à 80 (%)" sqref="H15" xr:uid="{FA8D8A32-9E35-4652-AB87-0E05CBA11467}">
      <formula1>0</formula1>
    </dataValidation>
    <dataValidation type="custom" allowBlank="1" showErrorMessage="1" sqref="D8:F8" xr:uid="{7BF93798-2728-4449-8F4C-C8BC669A5EA0}">
      <formula1>D8&gt;1940</formula1>
    </dataValidation>
  </dataValidations>
  <pageMargins left="0.39370078740157483" right="0.39370078740157483" top="0.78740157480314965" bottom="0.78740157480314965" header="0.55118110236220474" footer="0.31496062992125984"/>
  <pageSetup paperSize="9" scale="98" orientation="portrait" r:id="rId1"/>
  <headerFooter alignWithMargins="0">
    <oddFooter xml:space="preserve">&amp;L&amp;8&amp;K000000Ausdruck vom &amp;D&amp;C&amp;8&amp;A&amp;R&amp;8&amp;K000000&amp;P/&amp;N
</oddFooter>
  </headerFooter>
  <colBreaks count="1" manualBreakCount="1">
    <brk id="3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19557-E94A-45C1-9625-25D23B28F159}">
  <sheetPr>
    <tabColor theme="6" tint="0.59999389629810485"/>
    <pageSetUpPr fitToPage="1"/>
  </sheetPr>
  <dimension ref="B2:H24"/>
  <sheetViews>
    <sheetView showGridLines="0" showRowColHeaders="0" showRuler="0" zoomScaleNormal="100" workbookViewId="0">
      <selection activeCell="B5" sqref="B5"/>
    </sheetView>
  </sheetViews>
  <sheetFormatPr baseColWidth="10" defaultColWidth="10.85546875" defaultRowHeight="12.75" x14ac:dyDescent="0.2"/>
  <cols>
    <col min="1" max="1" width="2.7109375" style="10" customWidth="1"/>
    <col min="2" max="2" width="32.28515625" style="10" customWidth="1"/>
    <col min="3" max="3" width="12.85546875" style="10" customWidth="1"/>
    <col min="4" max="4" width="13" style="10" customWidth="1"/>
    <col min="5" max="5" width="12.42578125" style="10" customWidth="1"/>
    <col min="6" max="26" width="8.7109375" style="10" customWidth="1"/>
    <col min="27" max="16384" width="10.85546875" style="10"/>
  </cols>
  <sheetData>
    <row r="2" spans="2:8" ht="15.75" x14ac:dyDescent="0.25">
      <c r="B2" s="93" t="str">
        <f>_xlfn.CONCAT("Arbeitsbereiche von ",Pfarrer, " für das Jahr ", Jahr)</f>
        <v>Arbeitsbereiche von Heinz Muster für das Jahr 2025</v>
      </c>
      <c r="H2" s="470" t="str">
        <f>Version</f>
        <v>v25/24.12.28zw</v>
      </c>
    </row>
    <row r="4" spans="2:8" ht="25.5" x14ac:dyDescent="0.2">
      <c r="B4" s="303" t="s">
        <v>58</v>
      </c>
      <c r="C4" s="7" t="s">
        <v>57</v>
      </c>
      <c r="D4" s="7" t="s">
        <v>213</v>
      </c>
      <c r="E4" s="7" t="s">
        <v>229</v>
      </c>
    </row>
    <row r="5" spans="2:8" ht="16.5" customHeight="1" x14ac:dyDescent="0.2">
      <c r="B5" s="48" t="s">
        <v>373</v>
      </c>
      <c r="C5" s="304">
        <f>Zusammenzug!P59</f>
        <v>0</v>
      </c>
      <c r="D5" s="304">
        <f>C5/TaginSt</f>
        <v>0</v>
      </c>
      <c r="E5" s="304">
        <f>IFERROR(100/C$18*C5,0)</f>
        <v>0</v>
      </c>
    </row>
    <row r="6" spans="2:8" ht="16.5" customHeight="1" x14ac:dyDescent="0.2">
      <c r="B6" s="48" t="s">
        <v>67</v>
      </c>
      <c r="C6" s="304">
        <f>Zusammenzug!P60</f>
        <v>0</v>
      </c>
      <c r="D6" s="304">
        <f t="shared" ref="D6:D16" si="0">C6/TaginSt</f>
        <v>0</v>
      </c>
      <c r="E6" s="304">
        <f t="shared" ref="E6:E17" si="1">IFERROR(100/C$18*C6,0)</f>
        <v>0</v>
      </c>
    </row>
    <row r="7" spans="2:8" ht="16.5" customHeight="1" x14ac:dyDescent="0.2">
      <c r="B7" s="48" t="s">
        <v>68</v>
      </c>
      <c r="C7" s="304">
        <f>Zusammenzug!P61</f>
        <v>0</v>
      </c>
      <c r="D7" s="304">
        <f t="shared" si="0"/>
        <v>0</v>
      </c>
      <c r="E7" s="304">
        <f t="shared" si="1"/>
        <v>0</v>
      </c>
    </row>
    <row r="8" spans="2:8" ht="16.5" customHeight="1" x14ac:dyDescent="0.2">
      <c r="B8" s="48" t="s">
        <v>69</v>
      </c>
      <c r="C8" s="304">
        <f>Zusammenzug!P62</f>
        <v>0</v>
      </c>
      <c r="D8" s="304">
        <f t="shared" si="0"/>
        <v>0</v>
      </c>
      <c r="E8" s="304">
        <f t="shared" si="1"/>
        <v>0</v>
      </c>
    </row>
    <row r="9" spans="2:8" ht="16.5" customHeight="1" x14ac:dyDescent="0.2">
      <c r="B9" s="48" t="s">
        <v>112</v>
      </c>
      <c r="C9" s="304">
        <f>Zusammenzug!P63</f>
        <v>0</v>
      </c>
      <c r="D9" s="304">
        <f t="shared" si="0"/>
        <v>0</v>
      </c>
      <c r="E9" s="304">
        <f t="shared" si="1"/>
        <v>0</v>
      </c>
    </row>
    <row r="10" spans="2:8" ht="16.5" customHeight="1" x14ac:dyDescent="0.2">
      <c r="B10" s="48" t="s">
        <v>70</v>
      </c>
      <c r="C10" s="304">
        <f>Zusammenzug!P64</f>
        <v>0</v>
      </c>
      <c r="D10" s="304">
        <f t="shared" si="0"/>
        <v>0</v>
      </c>
      <c r="E10" s="304">
        <f t="shared" si="1"/>
        <v>0</v>
      </c>
    </row>
    <row r="11" spans="2:8" ht="16.5" customHeight="1" x14ac:dyDescent="0.2">
      <c r="B11" s="48"/>
      <c r="C11" s="304">
        <f>Zusammenzug!P65</f>
        <v>0</v>
      </c>
      <c r="D11" s="304">
        <f t="shared" si="0"/>
        <v>0</v>
      </c>
      <c r="E11" s="304">
        <f t="shared" si="1"/>
        <v>0</v>
      </c>
    </row>
    <row r="12" spans="2:8" ht="16.5" customHeight="1" x14ac:dyDescent="0.2">
      <c r="B12" s="48"/>
      <c r="C12" s="304">
        <f>Zusammenzug!P66</f>
        <v>0</v>
      </c>
      <c r="D12" s="304">
        <f t="shared" si="0"/>
        <v>0</v>
      </c>
      <c r="E12" s="304">
        <f t="shared" si="1"/>
        <v>0</v>
      </c>
    </row>
    <row r="13" spans="2:8" ht="16.5" customHeight="1" x14ac:dyDescent="0.2">
      <c r="B13" s="48"/>
      <c r="C13" s="304">
        <f>Zusammenzug!P67</f>
        <v>0</v>
      </c>
      <c r="D13" s="304">
        <f t="shared" si="0"/>
        <v>0</v>
      </c>
      <c r="E13" s="304">
        <f t="shared" si="1"/>
        <v>0</v>
      </c>
    </row>
    <row r="14" spans="2:8" ht="16.5" customHeight="1" x14ac:dyDescent="0.2">
      <c r="B14" s="48"/>
      <c r="C14" s="304">
        <f>Zusammenzug!P68</f>
        <v>0</v>
      </c>
      <c r="D14" s="304">
        <f t="shared" si="0"/>
        <v>0</v>
      </c>
      <c r="E14" s="304">
        <f t="shared" si="1"/>
        <v>0</v>
      </c>
    </row>
    <row r="15" spans="2:8" ht="16.5" customHeight="1" x14ac:dyDescent="0.2">
      <c r="B15" s="48"/>
      <c r="C15" s="304">
        <f>Zusammenzug!P69</f>
        <v>0</v>
      </c>
      <c r="D15" s="304">
        <f t="shared" si="0"/>
        <v>0</v>
      </c>
      <c r="E15" s="304">
        <f t="shared" si="1"/>
        <v>0</v>
      </c>
    </row>
    <row r="16" spans="2:8" ht="16.5" customHeight="1" x14ac:dyDescent="0.2">
      <c r="B16" s="48"/>
      <c r="C16" s="304">
        <f>Zusammenzug!P70</f>
        <v>0</v>
      </c>
      <c r="D16" s="304">
        <f t="shared" si="0"/>
        <v>0</v>
      </c>
      <c r="E16" s="304">
        <f t="shared" si="1"/>
        <v>0</v>
      </c>
    </row>
    <row r="17" spans="2:8" ht="16.5" customHeight="1" x14ac:dyDescent="0.2">
      <c r="B17" s="305" t="s">
        <v>55</v>
      </c>
      <c r="C17" s="304">
        <f>Zusammenzug!P71</f>
        <v>0</v>
      </c>
      <c r="D17" s="304">
        <f>C17/TaginSt</f>
        <v>0</v>
      </c>
      <c r="E17" s="304">
        <f t="shared" si="1"/>
        <v>0</v>
      </c>
      <c r="G17" s="306"/>
      <c r="H17" s="306"/>
    </row>
    <row r="18" spans="2:8" ht="16.5" customHeight="1" x14ac:dyDescent="0.2">
      <c r="B18" s="307" t="s">
        <v>201</v>
      </c>
      <c r="C18" s="308">
        <f>SUM(C5:C17)</f>
        <v>0</v>
      </c>
      <c r="D18" s="308">
        <f t="shared" ref="D18" si="2">SUM(D5:D17)</f>
        <v>0</v>
      </c>
      <c r="E18" s="308">
        <f>SUM(E5:E17)</f>
        <v>0</v>
      </c>
    </row>
    <row r="23" spans="2:8" x14ac:dyDescent="0.2">
      <c r="C23" s="95"/>
    </row>
    <row r="24" spans="2:8" x14ac:dyDescent="0.2">
      <c r="C24" s="95"/>
    </row>
  </sheetData>
  <sheetProtection algorithmName="SHA-512" hashValue="gpCz7hQA1b/bxiRAkiWRDQ0XZkFYwC/zX2Qu2I2XG+rMv8ABGvAhXsVvan/vITfmothcd1UUSpFJaAbXnnTbEg==" saltValue="sCprtuvYvcO4PTF1dmHUfw==" spinCount="100000" sheet="1" objects="1" scenarios="1"/>
  <dataValidations count="1">
    <dataValidation type="textLength" operator="lessThan" allowBlank="1" showInputMessage="1" showErrorMessage="1" errorTitle="Zeichenbeschränkung" error="Eingabe zu lang. Es sind maximal 32 Zeichen erlaubt." promptTitle="Zeichenbeschränkung" prompt="Die Eingabe ist auf 32 Zeichen beschränkt." sqref="B5:B16" xr:uid="{77B8FF08-132F-47C6-BF13-20FD7B63E067}">
      <formula1>32</formula1>
    </dataValidation>
  </dataValidations>
  <pageMargins left="0.70866141732283472" right="0.70866141732283472" top="0.78740157480314965" bottom="0.78740157480314965" header="0.39370078740157483" footer="0.31496062992125984"/>
  <pageSetup paperSize="9" scale="92" fitToHeight="0" orientation="portrait" r:id="rId1"/>
  <headerFooter>
    <oddFooter>&amp;LAusdruck vom &amp;D&amp;C&amp;A&amp;R&amp;P/&amp;N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EAFE-C38D-4060-BCA7-C5A36ED6F464}">
  <sheetPr codeName="Tabelle10">
    <tabColor theme="5" tint="0.79998168889431442"/>
    <pageSetUpPr fitToPage="1"/>
  </sheetPr>
  <dimension ref="B1:AQ99"/>
  <sheetViews>
    <sheetView showGridLines="0" showRowColHeaders="0" zoomScaleNormal="100" workbookViewId="0">
      <pane xSplit="7" ySplit="12" topLeftCell="H13" activePane="bottomRight" state="frozen"/>
      <selection activeCell="AM91" sqref="AM91"/>
      <selection pane="topRight" activeCell="AM91" sqref="AM91"/>
      <selection pane="bottomLeft" activeCell="AM91" sqref="AM91"/>
      <selection pane="bottomRight" activeCell="J17" sqref="J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8.4</v>
      </c>
      <c r="I1" s="168">
        <f t="shared" ref="I1:AL1" si="0">IF(ISERROR(VLOOKUP(I12,Feiertagsanspruch,8,FALSE)),0,VLOOKUP(I12,Feiertagsanspruch,8,FALSE))</f>
        <v>8.4</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16.8</v>
      </c>
    </row>
    <row r="2" spans="2:39" ht="13.5" hidden="1" x14ac:dyDescent="0.2">
      <c r="D2" s="166"/>
      <c r="E2" s="166"/>
      <c r="G2" s="169" t="s">
        <v>186</v>
      </c>
      <c r="H2" s="170">
        <f t="shared" ref="H2:AL2" si="1">H1*H9/100</f>
        <v>6.72</v>
      </c>
      <c r="I2" s="170">
        <f t="shared" si="1"/>
        <v>6.72</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13.44</v>
      </c>
    </row>
    <row r="3" spans="2:39" hidden="1" x14ac:dyDescent="0.2">
      <c r="D3" s="166"/>
      <c r="E3" s="166"/>
      <c r="G3" s="167" t="s">
        <v>171</v>
      </c>
      <c r="H3" s="171">
        <f t="shared" ref="H3:AI3" si="2">IF(OR(WEEKDAY(H$12,2)=7,H1&gt;0),0,TaginSt-H14-H4)</f>
        <v>0</v>
      </c>
      <c r="I3" s="171">
        <f t="shared" si="2"/>
        <v>0</v>
      </c>
      <c r="J3" s="171">
        <f t="shared" si="2"/>
        <v>0</v>
      </c>
      <c r="K3" s="171">
        <f t="shared" si="2"/>
        <v>8.4</v>
      </c>
      <c r="L3" s="171">
        <f t="shared" si="2"/>
        <v>0</v>
      </c>
      <c r="M3" s="171">
        <f t="shared" si="2"/>
        <v>0</v>
      </c>
      <c r="N3" s="171">
        <f t="shared" si="2"/>
        <v>0</v>
      </c>
      <c r="O3" s="171">
        <f t="shared" si="2"/>
        <v>0</v>
      </c>
      <c r="P3" s="171">
        <f t="shared" si="2"/>
        <v>0</v>
      </c>
      <c r="Q3" s="171">
        <f t="shared" si="2"/>
        <v>0</v>
      </c>
      <c r="R3" s="171">
        <f t="shared" si="2"/>
        <v>8.4</v>
      </c>
      <c r="S3" s="171">
        <f t="shared" si="2"/>
        <v>0</v>
      </c>
      <c r="T3" s="171">
        <f t="shared" si="2"/>
        <v>0</v>
      </c>
      <c r="U3" s="171">
        <f t="shared" si="2"/>
        <v>0</v>
      </c>
      <c r="V3" s="171">
        <f t="shared" si="2"/>
        <v>0</v>
      </c>
      <c r="W3" s="171">
        <f t="shared" si="2"/>
        <v>0</v>
      </c>
      <c r="X3" s="171">
        <f t="shared" si="2"/>
        <v>0</v>
      </c>
      <c r="Y3" s="171">
        <f t="shared" si="2"/>
        <v>8.4</v>
      </c>
      <c r="Z3" s="171">
        <f t="shared" si="2"/>
        <v>0</v>
      </c>
      <c r="AA3" s="171">
        <f t="shared" si="2"/>
        <v>0</v>
      </c>
      <c r="AB3" s="171">
        <f t="shared" si="2"/>
        <v>0</v>
      </c>
      <c r="AC3" s="171">
        <f t="shared" si="2"/>
        <v>0</v>
      </c>
      <c r="AD3" s="171">
        <f t="shared" si="2"/>
        <v>0</v>
      </c>
      <c r="AE3" s="171">
        <f t="shared" si="2"/>
        <v>0</v>
      </c>
      <c r="AF3" s="171">
        <f t="shared" si="2"/>
        <v>8.4</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0</v>
      </c>
      <c r="I4" s="170">
        <f t="shared" si="3"/>
        <v>0</v>
      </c>
      <c r="J4" s="170">
        <f t="shared" si="3"/>
        <v>1.6800000000000006</v>
      </c>
      <c r="K4" s="170">
        <f t="shared" si="3"/>
        <v>0</v>
      </c>
      <c r="L4" s="170">
        <f t="shared" si="3"/>
        <v>0</v>
      </c>
      <c r="M4" s="170">
        <f t="shared" si="3"/>
        <v>1.6800000000000006</v>
      </c>
      <c r="N4" s="170">
        <f t="shared" si="3"/>
        <v>1.6800000000000006</v>
      </c>
      <c r="O4" s="170">
        <f t="shared" si="3"/>
        <v>1.6800000000000006</v>
      </c>
      <c r="P4" s="170">
        <f t="shared" si="3"/>
        <v>1.6800000000000006</v>
      </c>
      <c r="Q4" s="170">
        <f t="shared" si="3"/>
        <v>1.6800000000000006</v>
      </c>
      <c r="R4" s="170">
        <f t="shared" si="3"/>
        <v>0</v>
      </c>
      <c r="S4" s="170">
        <f t="shared" si="3"/>
        <v>0</v>
      </c>
      <c r="T4" s="170">
        <f t="shared" si="3"/>
        <v>1.6800000000000006</v>
      </c>
      <c r="U4" s="170">
        <f t="shared" si="3"/>
        <v>1.6800000000000006</v>
      </c>
      <c r="V4" s="170">
        <f t="shared" si="3"/>
        <v>1.6800000000000006</v>
      </c>
      <c r="W4" s="170">
        <f t="shared" si="3"/>
        <v>1.6800000000000006</v>
      </c>
      <c r="X4" s="170">
        <f t="shared" si="3"/>
        <v>1.6800000000000006</v>
      </c>
      <c r="Y4" s="170">
        <f t="shared" si="3"/>
        <v>0</v>
      </c>
      <c r="Z4" s="170">
        <f t="shared" si="3"/>
        <v>0</v>
      </c>
      <c r="AA4" s="170">
        <f t="shared" si="3"/>
        <v>1.6800000000000006</v>
      </c>
      <c r="AB4" s="170">
        <f t="shared" si="3"/>
        <v>1.6800000000000006</v>
      </c>
      <c r="AC4" s="170">
        <f t="shared" si="3"/>
        <v>1.6800000000000006</v>
      </c>
      <c r="AD4" s="170">
        <f t="shared" si="3"/>
        <v>1.6800000000000006</v>
      </c>
      <c r="AE4" s="170">
        <f t="shared" si="3"/>
        <v>1.6800000000000006</v>
      </c>
      <c r="AF4" s="170">
        <f t="shared" si="3"/>
        <v>0</v>
      </c>
      <c r="AG4" s="170">
        <f t="shared" si="3"/>
        <v>0</v>
      </c>
      <c r="AH4" s="170">
        <f t="shared" si="3"/>
        <v>1.6800000000000006</v>
      </c>
      <c r="AI4" s="170">
        <f t="shared" si="3"/>
        <v>1.6800000000000006</v>
      </c>
      <c r="AJ4" s="170">
        <f t="shared" si="3"/>
        <v>1.6800000000000006</v>
      </c>
      <c r="AK4" s="170">
        <f t="shared" si="3"/>
        <v>1.6800000000000006</v>
      </c>
      <c r="AL4" s="170">
        <f t="shared" si="3"/>
        <v>1.6800000000000006</v>
      </c>
      <c r="AM4" s="170">
        <f>SUM(H4:AL4)</f>
        <v>35.28</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1.25</v>
      </c>
      <c r="AM5" s="170"/>
    </row>
    <row r="6" spans="2:39" hidden="1" x14ac:dyDescent="0.2">
      <c r="D6" s="166"/>
      <c r="E6" s="166"/>
      <c r="F6" s="172" t="s">
        <v>7</v>
      </c>
      <c r="G6" s="173" t="s">
        <v>107</v>
      </c>
      <c r="H6" s="174">
        <f t="shared" ref="H6:AI6" si="5">IF(AND(H7=1,H9&gt;0,WEEKDAY(H12,2)&lt;6),(TaginSt-H1)/TaginSt,0)</f>
        <v>0</v>
      </c>
      <c r="I6" s="174">
        <f t="shared" si="5"/>
        <v>0</v>
      </c>
      <c r="J6" s="174">
        <f t="shared" si="5"/>
        <v>1</v>
      </c>
      <c r="K6" s="174">
        <f t="shared" si="5"/>
        <v>0</v>
      </c>
      <c r="L6" s="174">
        <f t="shared" si="5"/>
        <v>0</v>
      </c>
      <c r="M6" s="174">
        <f t="shared" si="5"/>
        <v>1</v>
      </c>
      <c r="N6" s="174">
        <f t="shared" si="5"/>
        <v>1</v>
      </c>
      <c r="O6" s="174">
        <f t="shared" si="5"/>
        <v>1</v>
      </c>
      <c r="P6" s="174">
        <f t="shared" si="5"/>
        <v>1</v>
      </c>
      <c r="Q6" s="174">
        <f t="shared" si="5"/>
        <v>1</v>
      </c>
      <c r="R6" s="174">
        <f t="shared" si="5"/>
        <v>0</v>
      </c>
      <c r="S6" s="174">
        <f t="shared" si="5"/>
        <v>0</v>
      </c>
      <c r="T6" s="174">
        <f t="shared" si="5"/>
        <v>1</v>
      </c>
      <c r="U6" s="174">
        <f t="shared" si="5"/>
        <v>1</v>
      </c>
      <c r="V6" s="174">
        <f t="shared" si="5"/>
        <v>1</v>
      </c>
      <c r="W6" s="174">
        <f t="shared" si="5"/>
        <v>1</v>
      </c>
      <c r="X6" s="174">
        <f t="shared" si="5"/>
        <v>1</v>
      </c>
      <c r="Y6" s="174">
        <f t="shared" si="5"/>
        <v>0</v>
      </c>
      <c r="Z6" s="174">
        <f t="shared" si="5"/>
        <v>0</v>
      </c>
      <c r="AA6" s="174">
        <f t="shared" si="5"/>
        <v>1</v>
      </c>
      <c r="AB6" s="174">
        <f t="shared" si="5"/>
        <v>1</v>
      </c>
      <c r="AC6" s="174">
        <f t="shared" si="5"/>
        <v>1</v>
      </c>
      <c r="AD6" s="174">
        <f t="shared" si="5"/>
        <v>1</v>
      </c>
      <c r="AE6" s="174">
        <f t="shared" si="5"/>
        <v>1</v>
      </c>
      <c r="AF6" s="174">
        <f t="shared" si="5"/>
        <v>0</v>
      </c>
      <c r="AG6" s="174">
        <f t="shared" si="5"/>
        <v>0</v>
      </c>
      <c r="AH6" s="174">
        <f t="shared" si="5"/>
        <v>1</v>
      </c>
      <c r="AI6" s="174">
        <f t="shared" si="5"/>
        <v>1</v>
      </c>
      <c r="AJ6" s="174">
        <f>IFERROR(IF(AND(AJ7=1,AJ9&gt;0,WEEKDAY(AJ12,2)&lt;6),(TaginSt-AJ1)/TaginSt,0),0)</f>
        <v>1</v>
      </c>
      <c r="AK6" s="174">
        <f>IFERROR(IF(AND(AK7=1,AK9&gt;0,WEEKDAY(AK12,2)&lt;6),(TaginSt-AK1)/TaginSt,0),0)</f>
        <v>1</v>
      </c>
      <c r="AL6" s="174">
        <f>IFERROR(IF(AND(AL7=1,AL9&gt;0,WEEKDAY(AL12,2)&lt;6),(TaginSt-AL1)/TaginSt,0),0)</f>
        <v>1</v>
      </c>
      <c r="AM6" s="175"/>
    </row>
    <row r="7" spans="2:39" hidden="1" x14ac:dyDescent="0.2">
      <c r="F7" s="176">
        <v>1</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80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Januar</v>
      </c>
      <c r="C11" s="184">
        <f>Jahr</f>
        <v>2025</v>
      </c>
      <c r="D11" s="166"/>
      <c r="E11" s="166"/>
      <c r="F11" s="185"/>
      <c r="G11" s="186"/>
      <c r="H11" s="187" t="str">
        <f>TEXT(H12,"TTT")</f>
        <v>Mi</v>
      </c>
      <c r="I11" s="188" t="str">
        <f>TEXT(I12,"TTT")</f>
        <v>Do</v>
      </c>
      <c r="J11" s="188" t="str">
        <f t="shared" ref="J11:L11" si="8">TEXT(J12,"TTT")</f>
        <v>Fr</v>
      </c>
      <c r="K11" s="188" t="str">
        <f t="shared" si="8"/>
        <v>Sa</v>
      </c>
      <c r="L11" s="188" t="str">
        <f t="shared" si="8"/>
        <v>So</v>
      </c>
      <c r="M11" s="188" t="str">
        <f>TEXT(M12,"TTT")</f>
        <v>Mo</v>
      </c>
      <c r="N11" s="188" t="str">
        <f t="shared" ref="N11:AL11" si="9">TEXT(N12,"TTT")</f>
        <v>Di</v>
      </c>
      <c r="O11" s="188" t="str">
        <f t="shared" si="9"/>
        <v>Mi</v>
      </c>
      <c r="P11" s="188" t="str">
        <f t="shared" si="9"/>
        <v>Do</v>
      </c>
      <c r="Q11" s="188" t="str">
        <f t="shared" si="9"/>
        <v>Fr</v>
      </c>
      <c r="R11" s="188" t="str">
        <f t="shared" si="9"/>
        <v>Sa</v>
      </c>
      <c r="S11" s="188" t="str">
        <f t="shared" si="9"/>
        <v>So</v>
      </c>
      <c r="T11" s="188" t="str">
        <f t="shared" si="9"/>
        <v>Mo</v>
      </c>
      <c r="U11" s="188" t="str">
        <f t="shared" si="9"/>
        <v>Di</v>
      </c>
      <c r="V11" s="188" t="str">
        <f t="shared" si="9"/>
        <v>Mi</v>
      </c>
      <c r="W11" s="188" t="str">
        <f t="shared" si="9"/>
        <v>Do</v>
      </c>
      <c r="X11" s="188" t="str">
        <f t="shared" si="9"/>
        <v>Fr</v>
      </c>
      <c r="Y11" s="188" t="str">
        <f t="shared" si="9"/>
        <v>Sa</v>
      </c>
      <c r="Z11" s="188" t="str">
        <f t="shared" si="9"/>
        <v>So</v>
      </c>
      <c r="AA11" s="188" t="str">
        <f t="shared" si="9"/>
        <v>Mo</v>
      </c>
      <c r="AB11" s="188" t="str">
        <f t="shared" si="9"/>
        <v>Di</v>
      </c>
      <c r="AC11" s="188" t="str">
        <f t="shared" si="9"/>
        <v>Mi</v>
      </c>
      <c r="AD11" s="188" t="str">
        <f t="shared" si="9"/>
        <v>Do</v>
      </c>
      <c r="AE11" s="188" t="str">
        <f t="shared" si="9"/>
        <v>Fr</v>
      </c>
      <c r="AF11" s="188" t="str">
        <f t="shared" si="9"/>
        <v>Sa</v>
      </c>
      <c r="AG11" s="188" t="str">
        <f t="shared" si="9"/>
        <v>So</v>
      </c>
      <c r="AH11" s="188" t="str">
        <f t="shared" si="9"/>
        <v>Mo</v>
      </c>
      <c r="AI11" s="188" t="str">
        <f t="shared" si="9"/>
        <v>Di</v>
      </c>
      <c r="AJ11" s="188" t="str">
        <f t="shared" si="9"/>
        <v>Mi</v>
      </c>
      <c r="AK11" s="188" t="str">
        <f t="shared" si="9"/>
        <v>Do</v>
      </c>
      <c r="AL11" s="188" t="str">
        <f t="shared" si="9"/>
        <v>Fr</v>
      </c>
      <c r="AM11" s="188"/>
    </row>
    <row r="12" spans="2:39" ht="12.75" customHeight="1" thickBot="1" x14ac:dyDescent="0.25">
      <c r="B12" s="189" t="str">
        <f>Pfarrer</f>
        <v>Heinz Muster</v>
      </c>
      <c r="C12" s="190"/>
      <c r="D12" s="191"/>
      <c r="E12" s="191"/>
      <c r="F12" s="185"/>
      <c r="G12" s="192" t="s">
        <v>2</v>
      </c>
      <c r="H12" s="193">
        <f>DATE(C11,F7,1)</f>
        <v>44196</v>
      </c>
      <c r="I12" s="194">
        <f>DATE(C11,F7,2)</f>
        <v>44197</v>
      </c>
      <c r="J12" s="194">
        <f>DATE(C11,F7,3)</f>
        <v>44198</v>
      </c>
      <c r="K12" s="194">
        <f>DATE(C11,F7,4)</f>
        <v>44199</v>
      </c>
      <c r="L12" s="194">
        <f>DATE(C11,F7,5)</f>
        <v>44200</v>
      </c>
      <c r="M12" s="194">
        <f>DATE(C11,F7,6)</f>
        <v>44201</v>
      </c>
      <c r="N12" s="194">
        <f>DATE(C11,F7,7)</f>
        <v>44202</v>
      </c>
      <c r="O12" s="194">
        <f>DATE(C11,F7,8)</f>
        <v>44203</v>
      </c>
      <c r="P12" s="194">
        <f>DATE(C11,F7,9)</f>
        <v>44204</v>
      </c>
      <c r="Q12" s="194">
        <f>DATE(C11,F7,10)</f>
        <v>44205</v>
      </c>
      <c r="R12" s="194">
        <f>DATE(C11,F7,11)</f>
        <v>44206</v>
      </c>
      <c r="S12" s="194">
        <f>DATE(C11,F7,12)</f>
        <v>44207</v>
      </c>
      <c r="T12" s="194">
        <f>DATE(C11,F7,13)</f>
        <v>44208</v>
      </c>
      <c r="U12" s="194">
        <f>DATE(C11,F7,14)</f>
        <v>44209</v>
      </c>
      <c r="V12" s="194">
        <f>DATE(C11,F7,15)</f>
        <v>44210</v>
      </c>
      <c r="W12" s="194">
        <f>DATE(C11,F7,16)</f>
        <v>44211</v>
      </c>
      <c r="X12" s="194">
        <f>DATE(C11,F7,17)</f>
        <v>44212</v>
      </c>
      <c r="Y12" s="194">
        <f>DATE(C11,F7,18)</f>
        <v>44213</v>
      </c>
      <c r="Z12" s="194">
        <f>DATE(C11,F7,19)</f>
        <v>44214</v>
      </c>
      <c r="AA12" s="194">
        <f>DATE(C11,F7,20)</f>
        <v>44215</v>
      </c>
      <c r="AB12" s="194">
        <f>DATE(C11,F7,21)</f>
        <v>44216</v>
      </c>
      <c r="AC12" s="194">
        <f>DATE(C11,F7,22)</f>
        <v>44217</v>
      </c>
      <c r="AD12" s="194">
        <f>DATE(C11,F7,23)</f>
        <v>44218</v>
      </c>
      <c r="AE12" s="194">
        <f>DATE(C11,F7,24)</f>
        <v>44219</v>
      </c>
      <c r="AF12" s="194">
        <f>DATE(C11,F7,25)</f>
        <v>44220</v>
      </c>
      <c r="AG12" s="194">
        <f>DATE(C11,F7,26)</f>
        <v>44221</v>
      </c>
      <c r="AH12" s="194">
        <f>DATE(C11,F7,27)</f>
        <v>44222</v>
      </c>
      <c r="AI12" s="194">
        <f>DATE(C11,F7,28)</f>
        <v>44223</v>
      </c>
      <c r="AJ12" s="194">
        <f>IFERROR(IF(MONTH(AI12+1)=MONTH($H$12),AI$12+1,""),"")</f>
        <v>44224</v>
      </c>
      <c r="AK12" s="194">
        <f>IFERROR(IF(MONTH(AJ12+1)=MONTH($H$12),AJ$12+1,""),"")</f>
        <v>44225</v>
      </c>
      <c r="AL12" s="194">
        <f>IFERROR(IF(MONTH(AK12+1)=MONTH($H$12),AK$12+1,""),"")</f>
        <v>44226</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0</v>
      </c>
      <c r="I14" s="204">
        <f>IF(OR(WEEKDAY(I12,2)&gt;=6,I7=0),0,(TaginSt-I1)*I9/100)</f>
        <v>0</v>
      </c>
      <c r="J14" s="204">
        <f t="shared" si="10"/>
        <v>6.72</v>
      </c>
      <c r="K14" s="204">
        <f t="shared" si="10"/>
        <v>0</v>
      </c>
      <c r="L14" s="204">
        <f t="shared" si="10"/>
        <v>0</v>
      </c>
      <c r="M14" s="204">
        <f t="shared" si="10"/>
        <v>6.72</v>
      </c>
      <c r="N14" s="204">
        <f t="shared" si="10"/>
        <v>6.72</v>
      </c>
      <c r="O14" s="204">
        <f t="shared" si="10"/>
        <v>6.72</v>
      </c>
      <c r="P14" s="204">
        <f t="shared" si="10"/>
        <v>6.72</v>
      </c>
      <c r="Q14" s="204">
        <f t="shared" si="10"/>
        <v>6.72</v>
      </c>
      <c r="R14" s="204">
        <f t="shared" si="10"/>
        <v>0</v>
      </c>
      <c r="S14" s="204">
        <f t="shared" si="10"/>
        <v>0</v>
      </c>
      <c r="T14" s="204">
        <f t="shared" si="10"/>
        <v>6.72</v>
      </c>
      <c r="U14" s="204">
        <f t="shared" si="10"/>
        <v>6.72</v>
      </c>
      <c r="V14" s="204">
        <f t="shared" si="10"/>
        <v>6.72</v>
      </c>
      <c r="W14" s="204">
        <f t="shared" si="10"/>
        <v>6.72</v>
      </c>
      <c r="X14" s="204">
        <f t="shared" si="10"/>
        <v>6.72</v>
      </c>
      <c r="Y14" s="204">
        <f t="shared" si="10"/>
        <v>0</v>
      </c>
      <c r="Z14" s="204">
        <f t="shared" si="10"/>
        <v>0</v>
      </c>
      <c r="AA14" s="204">
        <f t="shared" si="10"/>
        <v>6.72</v>
      </c>
      <c r="AB14" s="204">
        <f t="shared" si="10"/>
        <v>6.72</v>
      </c>
      <c r="AC14" s="204">
        <f t="shared" si="10"/>
        <v>6.72</v>
      </c>
      <c r="AD14" s="204">
        <f t="shared" si="10"/>
        <v>6.72</v>
      </c>
      <c r="AE14" s="204">
        <f t="shared" si="10"/>
        <v>6.72</v>
      </c>
      <c r="AF14" s="204">
        <f t="shared" si="10"/>
        <v>0</v>
      </c>
      <c r="AG14" s="204">
        <f t="shared" si="10"/>
        <v>0</v>
      </c>
      <c r="AH14" s="204">
        <f t="shared" si="10"/>
        <v>6.72</v>
      </c>
      <c r="AI14" s="204">
        <f t="shared" si="10"/>
        <v>6.72</v>
      </c>
      <c r="AJ14" s="204">
        <f>IFERROR(IF(OR(WEEKDAY(AJ12,2)&gt;=6,AJ7=0),0,(TaginSt-AJ1)*AJ9/100),0)</f>
        <v>6.72</v>
      </c>
      <c r="AK14" s="204">
        <f>IFERROR(IF(OR(WEEKDAY(AK12,2)&gt;=6,AK7=0),0,(TaginSt-AK1)*AK9/100),0)</f>
        <v>6.72</v>
      </c>
      <c r="AL14" s="204">
        <f>IFERROR(IF(OR(WEEKDAY(AL12,2)&gt;=6,AL7=0),0,(TaginSt-AL1)*AL9/100),0)</f>
        <v>6.72</v>
      </c>
      <c r="AM14" s="205">
        <f>SUM(H14:AL14)</f>
        <v>141.12</v>
      </c>
    </row>
    <row r="15" spans="2:39" ht="12.75" customHeight="1" x14ac:dyDescent="0.2">
      <c r="D15" s="202"/>
      <c r="E15" s="202"/>
      <c r="F15" s="566"/>
      <c r="G15" s="203" t="s">
        <v>136</v>
      </c>
      <c r="H15" s="204">
        <f t="shared" ref="H15:I15" si="11">H14/TaginSt</f>
        <v>0</v>
      </c>
      <c r="I15" s="206">
        <f t="shared" si="11"/>
        <v>0</v>
      </c>
      <c r="J15" s="206">
        <f t="shared" ref="J15" si="12">J14/TaginSt</f>
        <v>0.79999999999999993</v>
      </c>
      <c r="K15" s="206">
        <f t="shared" ref="K15" si="13">K14/TaginSt</f>
        <v>0</v>
      </c>
      <c r="L15" s="206">
        <f t="shared" ref="L15" si="14">L14/TaginSt</f>
        <v>0</v>
      </c>
      <c r="M15" s="206">
        <f t="shared" ref="M15" si="15">M14/TaginSt</f>
        <v>0.79999999999999993</v>
      </c>
      <c r="N15" s="206">
        <f t="shared" ref="N15" si="16">N14/TaginSt</f>
        <v>0.79999999999999993</v>
      </c>
      <c r="O15" s="206">
        <f t="shared" ref="O15" si="17">O14/TaginSt</f>
        <v>0.79999999999999993</v>
      </c>
      <c r="P15" s="206">
        <f t="shared" ref="P15" si="18">P14/TaginSt</f>
        <v>0.79999999999999993</v>
      </c>
      <c r="Q15" s="206">
        <f t="shared" ref="Q15" si="19">Q14/TaginSt</f>
        <v>0.79999999999999993</v>
      </c>
      <c r="R15" s="206">
        <f t="shared" ref="R15" si="20">R14/TaginSt</f>
        <v>0</v>
      </c>
      <c r="S15" s="206">
        <f t="shared" ref="S15" si="21">S14/TaginSt</f>
        <v>0</v>
      </c>
      <c r="T15" s="206">
        <f t="shared" ref="T15" si="22">T14/TaginSt</f>
        <v>0.79999999999999993</v>
      </c>
      <c r="U15" s="206">
        <f t="shared" ref="U15" si="23">U14/TaginSt</f>
        <v>0.79999999999999993</v>
      </c>
      <c r="V15" s="206">
        <f t="shared" ref="V15" si="24">V14/TaginSt</f>
        <v>0.79999999999999993</v>
      </c>
      <c r="W15" s="206">
        <f t="shared" ref="W15" si="25">W14/TaginSt</f>
        <v>0.79999999999999993</v>
      </c>
      <c r="X15" s="206">
        <f t="shared" ref="X15" si="26">X14/TaginSt</f>
        <v>0.79999999999999993</v>
      </c>
      <c r="Y15" s="206">
        <f t="shared" ref="Y15" si="27">Y14/TaginSt</f>
        <v>0</v>
      </c>
      <c r="Z15" s="206">
        <f t="shared" ref="Z15" si="28">Z14/TaginSt</f>
        <v>0</v>
      </c>
      <c r="AA15" s="206">
        <f t="shared" ref="AA15" si="29">AA14/TaginSt</f>
        <v>0.79999999999999993</v>
      </c>
      <c r="AB15" s="206">
        <f t="shared" ref="AB15" si="30">AB14/TaginSt</f>
        <v>0.79999999999999993</v>
      </c>
      <c r="AC15" s="206">
        <f t="shared" ref="AC15" si="31">AC14/TaginSt</f>
        <v>0.79999999999999993</v>
      </c>
      <c r="AD15" s="206">
        <f t="shared" ref="AD15" si="32">AD14/TaginSt</f>
        <v>0.79999999999999993</v>
      </c>
      <c r="AE15" s="206">
        <f t="shared" ref="AE15" si="33">AE14/TaginSt</f>
        <v>0.79999999999999993</v>
      </c>
      <c r="AF15" s="206">
        <f t="shared" ref="AF15" si="34">AF14/TaginSt</f>
        <v>0</v>
      </c>
      <c r="AG15" s="206">
        <f t="shared" ref="AG15" si="35">AG14/TaginSt</f>
        <v>0</v>
      </c>
      <c r="AH15" s="206">
        <f t="shared" ref="AH15" si="36">AH14/TaginSt</f>
        <v>0.79999999999999993</v>
      </c>
      <c r="AI15" s="206">
        <f t="shared" ref="AI15" si="37">AI14/TaginSt</f>
        <v>0.79999999999999993</v>
      </c>
      <c r="AJ15" s="206">
        <f t="shared" ref="AJ15" si="38">AJ14/TaginSt</f>
        <v>0.79999999999999993</v>
      </c>
      <c r="AK15" s="206">
        <f t="shared" ref="AK15" si="39">AK14/TaginSt</f>
        <v>0.79999999999999993</v>
      </c>
      <c r="AL15" s="206">
        <f t="shared" ref="AL15" si="40">AL14/TaginSt</f>
        <v>0.79999999999999993</v>
      </c>
      <c r="AM15" s="205">
        <f>SUM(H15:AL15)</f>
        <v>16.800000000000004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v>0</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B20" s="9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TotalFerienanspruchinStunden-AM42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41">((H18-H17)*24)+((H20-H19)*24)+((H22-H21)*24)+H23+(H24*TaginSt)+SUM(H42:H50)</f>
        <v>0</v>
      </c>
      <c r="I26" s="247">
        <f t="shared" si="41"/>
        <v>0</v>
      </c>
      <c r="J26" s="247">
        <f t="shared" si="41"/>
        <v>0</v>
      </c>
      <c r="K26" s="247">
        <f t="shared" si="41"/>
        <v>0</v>
      </c>
      <c r="L26" s="247">
        <f t="shared" si="41"/>
        <v>0</v>
      </c>
      <c r="M26" s="247">
        <f t="shared" si="41"/>
        <v>0</v>
      </c>
      <c r="N26" s="247">
        <f t="shared" si="41"/>
        <v>0</v>
      </c>
      <c r="O26" s="247">
        <f t="shared" si="41"/>
        <v>0</v>
      </c>
      <c r="P26" s="247">
        <f t="shared" si="41"/>
        <v>0</v>
      </c>
      <c r="Q26" s="247">
        <f t="shared" si="41"/>
        <v>0</v>
      </c>
      <c r="R26" s="247">
        <f t="shared" si="41"/>
        <v>0</v>
      </c>
      <c r="S26" s="247">
        <f t="shared" si="41"/>
        <v>0</v>
      </c>
      <c r="T26" s="247">
        <f t="shared" si="41"/>
        <v>0</v>
      </c>
      <c r="U26" s="247">
        <f t="shared" si="41"/>
        <v>0</v>
      </c>
      <c r="V26" s="247">
        <f t="shared" si="41"/>
        <v>0</v>
      </c>
      <c r="W26" s="247">
        <f t="shared" si="41"/>
        <v>0</v>
      </c>
      <c r="X26" s="247">
        <f t="shared" si="41"/>
        <v>0</v>
      </c>
      <c r="Y26" s="247">
        <f t="shared" si="41"/>
        <v>0</v>
      </c>
      <c r="Z26" s="247">
        <f t="shared" si="41"/>
        <v>0</v>
      </c>
      <c r="AA26" s="247">
        <f t="shared" si="41"/>
        <v>0</v>
      </c>
      <c r="AB26" s="247">
        <f t="shared" si="41"/>
        <v>0</v>
      </c>
      <c r="AC26" s="247">
        <f t="shared" si="41"/>
        <v>0</v>
      </c>
      <c r="AD26" s="247">
        <f t="shared" si="41"/>
        <v>0</v>
      </c>
      <c r="AE26" s="247">
        <f t="shared" si="41"/>
        <v>0</v>
      </c>
      <c r="AF26" s="247">
        <f t="shared" si="41"/>
        <v>0</v>
      </c>
      <c r="AG26" s="247">
        <f t="shared" si="41"/>
        <v>0</v>
      </c>
      <c r="AH26" s="247">
        <f t="shared" si="41"/>
        <v>0</v>
      </c>
      <c r="AI26" s="247">
        <f t="shared" si="41"/>
        <v>0</v>
      </c>
      <c r="AJ26" s="247">
        <f t="shared" si="41"/>
        <v>0</v>
      </c>
      <c r="AK26" s="247">
        <f t="shared" si="41"/>
        <v>0</v>
      </c>
      <c r="AL26" s="247">
        <f t="shared" si="41"/>
        <v>0</v>
      </c>
      <c r="AM26" s="261">
        <f>SUM(H26:AL26)</f>
        <v>0</v>
      </c>
    </row>
    <row r="27" spans="2:39" ht="12.75" customHeight="1" thickBot="1" x14ac:dyDescent="0.25">
      <c r="B27" s="248" t="s">
        <v>110</v>
      </c>
      <c r="C27" s="249">
        <f>GuthLangzeitAnfJahrinStunden-AM50</f>
        <v>0</v>
      </c>
      <c r="D27" s="246"/>
      <c r="E27" s="246"/>
      <c r="F27" s="569"/>
      <c r="G27" s="188" t="s">
        <v>22</v>
      </c>
      <c r="H27" s="247">
        <f>H26/TaginSt</f>
        <v>0</v>
      </c>
      <c r="I27" s="247">
        <f t="shared" ref="I27:AL27" si="42">I26/TaginSt</f>
        <v>0</v>
      </c>
      <c r="J27" s="247">
        <f t="shared" si="42"/>
        <v>0</v>
      </c>
      <c r="K27" s="247">
        <f t="shared" si="42"/>
        <v>0</v>
      </c>
      <c r="L27" s="247">
        <f t="shared" si="42"/>
        <v>0</v>
      </c>
      <c r="M27" s="247">
        <f t="shared" si="42"/>
        <v>0</v>
      </c>
      <c r="N27" s="247">
        <f t="shared" si="42"/>
        <v>0</v>
      </c>
      <c r="O27" s="247">
        <f t="shared" si="42"/>
        <v>0</v>
      </c>
      <c r="P27" s="247">
        <f t="shared" si="42"/>
        <v>0</v>
      </c>
      <c r="Q27" s="247">
        <f t="shared" si="42"/>
        <v>0</v>
      </c>
      <c r="R27" s="247">
        <f t="shared" si="42"/>
        <v>0</v>
      </c>
      <c r="S27" s="247">
        <f t="shared" si="42"/>
        <v>0</v>
      </c>
      <c r="T27" s="247">
        <f t="shared" si="42"/>
        <v>0</v>
      </c>
      <c r="U27" s="247">
        <f t="shared" si="42"/>
        <v>0</v>
      </c>
      <c r="V27" s="247">
        <f t="shared" si="42"/>
        <v>0</v>
      </c>
      <c r="W27" s="247">
        <f t="shared" si="42"/>
        <v>0</v>
      </c>
      <c r="X27" s="247">
        <f t="shared" si="42"/>
        <v>0</v>
      </c>
      <c r="Y27" s="247">
        <f t="shared" si="42"/>
        <v>0</v>
      </c>
      <c r="Z27" s="247">
        <f t="shared" si="42"/>
        <v>0</v>
      </c>
      <c r="AA27" s="247">
        <f t="shared" si="42"/>
        <v>0</v>
      </c>
      <c r="AB27" s="247">
        <f t="shared" si="42"/>
        <v>0</v>
      </c>
      <c r="AC27" s="247">
        <f t="shared" si="42"/>
        <v>0</v>
      </c>
      <c r="AD27" s="247">
        <f t="shared" si="42"/>
        <v>0</v>
      </c>
      <c r="AE27" s="247">
        <f t="shared" si="42"/>
        <v>0</v>
      </c>
      <c r="AF27" s="247">
        <f t="shared" si="42"/>
        <v>0</v>
      </c>
      <c r="AG27" s="247">
        <f t="shared" si="42"/>
        <v>0</v>
      </c>
      <c r="AH27" s="247">
        <f t="shared" si="42"/>
        <v>0</v>
      </c>
      <c r="AI27" s="247">
        <f t="shared" si="42"/>
        <v>0</v>
      </c>
      <c r="AJ27" s="247">
        <f t="shared" si="42"/>
        <v>0</v>
      </c>
      <c r="AK27" s="247">
        <f t="shared" si="42"/>
        <v>0</v>
      </c>
      <c r="AL27" s="247">
        <f t="shared" si="42"/>
        <v>0</v>
      </c>
      <c r="AM27" s="247">
        <f>SUM(H27:AL27)</f>
        <v>0</v>
      </c>
    </row>
    <row r="28" spans="2:39" ht="12.75" customHeight="1" x14ac:dyDescent="0.2">
      <c r="D28" s="166"/>
      <c r="E28" s="166"/>
      <c r="F28" s="569"/>
      <c r="G28" s="203"/>
      <c r="H28" s="203">
        <f t="shared" ref="H28:AL28" si="43">H26</f>
        <v>0</v>
      </c>
      <c r="I28" s="203">
        <f t="shared" si="43"/>
        <v>0</v>
      </c>
      <c r="J28" s="203">
        <f t="shared" si="43"/>
        <v>0</v>
      </c>
      <c r="K28" s="203">
        <f t="shared" si="43"/>
        <v>0</v>
      </c>
      <c r="L28" s="203">
        <f t="shared" si="43"/>
        <v>0</v>
      </c>
      <c r="M28" s="203">
        <f t="shared" si="43"/>
        <v>0</v>
      </c>
      <c r="N28" s="203">
        <f t="shared" si="43"/>
        <v>0</v>
      </c>
      <c r="O28" s="203">
        <f t="shared" si="43"/>
        <v>0</v>
      </c>
      <c r="P28" s="203">
        <f t="shared" si="43"/>
        <v>0</v>
      </c>
      <c r="Q28" s="203">
        <f t="shared" si="43"/>
        <v>0</v>
      </c>
      <c r="R28" s="203">
        <f t="shared" si="43"/>
        <v>0</v>
      </c>
      <c r="S28" s="203">
        <f t="shared" si="43"/>
        <v>0</v>
      </c>
      <c r="T28" s="203">
        <f t="shared" si="43"/>
        <v>0</v>
      </c>
      <c r="U28" s="203">
        <f t="shared" si="43"/>
        <v>0</v>
      </c>
      <c r="V28" s="203">
        <f t="shared" si="43"/>
        <v>0</v>
      </c>
      <c r="W28" s="203">
        <f t="shared" si="43"/>
        <v>0</v>
      </c>
      <c r="X28" s="203">
        <f t="shared" si="43"/>
        <v>0</v>
      </c>
      <c r="Y28" s="203">
        <f t="shared" si="43"/>
        <v>0</v>
      </c>
      <c r="Z28" s="203">
        <f t="shared" si="43"/>
        <v>0</v>
      </c>
      <c r="AA28" s="203">
        <f t="shared" si="43"/>
        <v>0</v>
      </c>
      <c r="AB28" s="203">
        <f t="shared" si="43"/>
        <v>0</v>
      </c>
      <c r="AC28" s="203">
        <f t="shared" si="43"/>
        <v>0</v>
      </c>
      <c r="AD28" s="203">
        <f t="shared" si="43"/>
        <v>0</v>
      </c>
      <c r="AE28" s="203">
        <f t="shared" si="43"/>
        <v>0</v>
      </c>
      <c r="AF28" s="203">
        <f t="shared" si="43"/>
        <v>0</v>
      </c>
      <c r="AG28" s="203">
        <f t="shared" si="43"/>
        <v>0</v>
      </c>
      <c r="AH28" s="203">
        <f t="shared" si="43"/>
        <v>0</v>
      </c>
      <c r="AI28" s="203">
        <f t="shared" si="43"/>
        <v>0</v>
      </c>
      <c r="AJ28" s="203">
        <f t="shared" si="43"/>
        <v>0</v>
      </c>
      <c r="AK28" s="203">
        <f t="shared" si="43"/>
        <v>0</v>
      </c>
      <c r="AL28" s="203">
        <f t="shared" si="43"/>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44">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44"/>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44"/>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44"/>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44"/>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44"/>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44"/>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44"/>
        <v>0</v>
      </c>
    </row>
    <row r="39" spans="2:43" ht="12.75" customHeight="1" x14ac:dyDescent="0.2">
      <c r="D39" s="250"/>
      <c r="E39" s="250"/>
      <c r="F39" s="458" t="s">
        <v>266</v>
      </c>
      <c r="G39" s="262" t="s">
        <v>168</v>
      </c>
      <c r="H39" s="263">
        <f t="shared" ref="H39:AL39" si="45">IF(ISERROR(H51/TaginSt),0,H51/TaginSt)</f>
        <v>0</v>
      </c>
      <c r="I39" s="263">
        <f t="shared" si="45"/>
        <v>0</v>
      </c>
      <c r="J39" s="263">
        <f t="shared" si="45"/>
        <v>0</v>
      </c>
      <c r="K39" s="263">
        <f t="shared" si="45"/>
        <v>1</v>
      </c>
      <c r="L39" s="263">
        <f>IF(ISERROR(L51/TaginSt),0,L51/TaginSt)</f>
        <v>0</v>
      </c>
      <c r="M39" s="263">
        <f t="shared" si="45"/>
        <v>0</v>
      </c>
      <c r="N39" s="263">
        <f t="shared" si="45"/>
        <v>0</v>
      </c>
      <c r="O39" s="263">
        <f t="shared" si="45"/>
        <v>0</v>
      </c>
      <c r="P39" s="263">
        <f t="shared" si="45"/>
        <v>0</v>
      </c>
      <c r="Q39" s="263">
        <f t="shared" si="45"/>
        <v>0</v>
      </c>
      <c r="R39" s="263">
        <f t="shared" si="45"/>
        <v>1</v>
      </c>
      <c r="S39" s="263">
        <f t="shared" si="45"/>
        <v>0</v>
      </c>
      <c r="T39" s="263">
        <f t="shared" si="45"/>
        <v>0</v>
      </c>
      <c r="U39" s="263">
        <f t="shared" si="45"/>
        <v>0</v>
      </c>
      <c r="V39" s="263">
        <f t="shared" si="45"/>
        <v>0</v>
      </c>
      <c r="W39" s="263">
        <f t="shared" si="45"/>
        <v>0</v>
      </c>
      <c r="X39" s="263">
        <f t="shared" si="45"/>
        <v>0</v>
      </c>
      <c r="Y39" s="263">
        <f t="shared" si="45"/>
        <v>1</v>
      </c>
      <c r="Z39" s="263">
        <f t="shared" si="45"/>
        <v>0</v>
      </c>
      <c r="AA39" s="263">
        <f t="shared" si="45"/>
        <v>0</v>
      </c>
      <c r="AB39" s="263">
        <f t="shared" si="45"/>
        <v>0</v>
      </c>
      <c r="AC39" s="263">
        <f t="shared" si="45"/>
        <v>0</v>
      </c>
      <c r="AD39" s="263">
        <f t="shared" si="45"/>
        <v>0</v>
      </c>
      <c r="AE39" s="263">
        <f t="shared" si="45"/>
        <v>0</v>
      </c>
      <c r="AF39" s="263">
        <f t="shared" si="45"/>
        <v>1</v>
      </c>
      <c r="AG39" s="263">
        <f t="shared" si="45"/>
        <v>0</v>
      </c>
      <c r="AH39" s="263">
        <f t="shared" si="45"/>
        <v>0</v>
      </c>
      <c r="AI39" s="263">
        <f t="shared" si="45"/>
        <v>0</v>
      </c>
      <c r="AJ39" s="263">
        <f t="shared" si="45"/>
        <v>0</v>
      </c>
      <c r="AK39" s="263">
        <f t="shared" si="45"/>
        <v>0</v>
      </c>
      <c r="AL39" s="263">
        <f t="shared" si="45"/>
        <v>0</v>
      </c>
      <c r="AM39" s="264">
        <f>SUM(H39:AL39)</f>
        <v>4</v>
      </c>
      <c r="AN39" s="265"/>
    </row>
    <row r="40" spans="2:43" ht="12.75" customHeight="1" x14ac:dyDescent="0.2">
      <c r="D40" s="250"/>
      <c r="E40" s="250"/>
      <c r="F40" s="459" t="s">
        <v>267</v>
      </c>
      <c r="G40" s="266" t="s">
        <v>188</v>
      </c>
      <c r="H40" s="263">
        <f t="shared" ref="H40:AL40" si="46">IF(ISERROR(H52/TaginSt),0,H52/TaginSt)</f>
        <v>0</v>
      </c>
      <c r="I40" s="263">
        <f t="shared" si="46"/>
        <v>0</v>
      </c>
      <c r="J40" s="263">
        <f>IF(ISERROR(J52/TaginSt),0,J52/TaginSt)</f>
        <v>1</v>
      </c>
      <c r="K40" s="263">
        <f t="shared" si="46"/>
        <v>0</v>
      </c>
      <c r="L40" s="263">
        <f t="shared" si="46"/>
        <v>0</v>
      </c>
      <c r="M40" s="263">
        <f t="shared" si="46"/>
        <v>1</v>
      </c>
      <c r="N40" s="263">
        <f t="shared" si="46"/>
        <v>1</v>
      </c>
      <c r="O40" s="263">
        <f t="shared" si="46"/>
        <v>1</v>
      </c>
      <c r="P40" s="263">
        <f t="shared" si="46"/>
        <v>1</v>
      </c>
      <c r="Q40" s="263">
        <f t="shared" si="46"/>
        <v>1</v>
      </c>
      <c r="R40" s="263">
        <f t="shared" si="46"/>
        <v>0</v>
      </c>
      <c r="S40" s="263">
        <f t="shared" si="46"/>
        <v>0</v>
      </c>
      <c r="T40" s="263">
        <f t="shared" si="46"/>
        <v>1</v>
      </c>
      <c r="U40" s="263">
        <f t="shared" si="46"/>
        <v>1</v>
      </c>
      <c r="V40" s="263">
        <f t="shared" si="46"/>
        <v>1</v>
      </c>
      <c r="W40" s="263">
        <f t="shared" si="46"/>
        <v>1</v>
      </c>
      <c r="X40" s="263">
        <f t="shared" si="46"/>
        <v>1</v>
      </c>
      <c r="Y40" s="263">
        <f t="shared" si="46"/>
        <v>0</v>
      </c>
      <c r="Z40" s="263">
        <f t="shared" si="46"/>
        <v>0</v>
      </c>
      <c r="AA40" s="263">
        <f t="shared" si="46"/>
        <v>1</v>
      </c>
      <c r="AB40" s="263">
        <f t="shared" si="46"/>
        <v>1</v>
      </c>
      <c r="AC40" s="263">
        <f t="shared" si="46"/>
        <v>1</v>
      </c>
      <c r="AD40" s="263">
        <f t="shared" si="46"/>
        <v>1</v>
      </c>
      <c r="AE40" s="263">
        <f t="shared" si="46"/>
        <v>1</v>
      </c>
      <c r="AF40" s="263">
        <f t="shared" si="46"/>
        <v>0</v>
      </c>
      <c r="AG40" s="263">
        <f t="shared" si="46"/>
        <v>0</v>
      </c>
      <c r="AH40" s="263">
        <f t="shared" si="46"/>
        <v>1</v>
      </c>
      <c r="AI40" s="263">
        <f t="shared" si="46"/>
        <v>1</v>
      </c>
      <c r="AJ40" s="263">
        <f t="shared" si="46"/>
        <v>1</v>
      </c>
      <c r="AK40" s="263">
        <f t="shared" si="46"/>
        <v>1</v>
      </c>
      <c r="AL40" s="263">
        <f t="shared" si="46"/>
        <v>1</v>
      </c>
      <c r="AM40" s="264">
        <f>SUM(H40:AL40)</f>
        <v>21</v>
      </c>
      <c r="AN40" s="265"/>
    </row>
    <row r="41" spans="2:43" ht="12.75" customHeight="1" x14ac:dyDescent="0.2">
      <c r="D41" s="250"/>
      <c r="E41" s="250"/>
      <c r="F41" s="585" t="s">
        <v>268</v>
      </c>
      <c r="G41" s="586"/>
      <c r="H41" s="267">
        <f t="shared" ref="H41:AL41" si="47">IF(ISERROR(H54/TaginSt),0,H54/TaginSt)</f>
        <v>0</v>
      </c>
      <c r="I41" s="267">
        <f t="shared" si="47"/>
        <v>0</v>
      </c>
      <c r="J41" s="267">
        <f t="shared" si="47"/>
        <v>0</v>
      </c>
      <c r="K41" s="267">
        <f t="shared" si="47"/>
        <v>0</v>
      </c>
      <c r="L41" s="267">
        <f t="shared" si="47"/>
        <v>0</v>
      </c>
      <c r="M41" s="267">
        <f t="shared" si="47"/>
        <v>0</v>
      </c>
      <c r="N41" s="267">
        <f t="shared" si="47"/>
        <v>0</v>
      </c>
      <c r="O41" s="267">
        <f t="shared" si="47"/>
        <v>0</v>
      </c>
      <c r="P41" s="267">
        <f t="shared" si="47"/>
        <v>0</v>
      </c>
      <c r="Q41" s="267">
        <f t="shared" si="47"/>
        <v>0</v>
      </c>
      <c r="R41" s="267">
        <f t="shared" si="47"/>
        <v>0</v>
      </c>
      <c r="S41" s="267">
        <f t="shared" si="47"/>
        <v>0</v>
      </c>
      <c r="T41" s="267">
        <f t="shared" si="47"/>
        <v>0</v>
      </c>
      <c r="U41" s="267">
        <f t="shared" si="47"/>
        <v>0</v>
      </c>
      <c r="V41" s="267">
        <f t="shared" si="47"/>
        <v>0</v>
      </c>
      <c r="W41" s="267">
        <f t="shared" si="47"/>
        <v>0</v>
      </c>
      <c r="X41" s="267">
        <f t="shared" si="47"/>
        <v>0</v>
      </c>
      <c r="Y41" s="267">
        <f t="shared" si="47"/>
        <v>0</v>
      </c>
      <c r="Z41" s="267">
        <f t="shared" si="47"/>
        <v>0</v>
      </c>
      <c r="AA41" s="267">
        <f t="shared" si="47"/>
        <v>0</v>
      </c>
      <c r="AB41" s="267">
        <f t="shared" si="47"/>
        <v>0</v>
      </c>
      <c r="AC41" s="267">
        <f t="shared" si="47"/>
        <v>0</v>
      </c>
      <c r="AD41" s="267">
        <f t="shared" si="47"/>
        <v>0</v>
      </c>
      <c r="AE41" s="267">
        <f t="shared" si="47"/>
        <v>0</v>
      </c>
      <c r="AF41" s="267">
        <f t="shared" si="47"/>
        <v>0</v>
      </c>
      <c r="AG41" s="267">
        <f t="shared" si="47"/>
        <v>0</v>
      </c>
      <c r="AH41" s="267">
        <f t="shared" si="47"/>
        <v>0</v>
      </c>
      <c r="AI41" s="267">
        <f t="shared" si="47"/>
        <v>0</v>
      </c>
      <c r="AJ41" s="267">
        <f t="shared" si="47"/>
        <v>0</v>
      </c>
      <c r="AK41" s="267">
        <f t="shared" si="47"/>
        <v>0</v>
      </c>
      <c r="AL41" s="267">
        <f t="shared" si="47"/>
        <v>0</v>
      </c>
      <c r="AM41" s="268">
        <f>SUM(H41:AL41)</f>
        <v>0</v>
      </c>
      <c r="AN41" s="265"/>
    </row>
    <row r="42" spans="2:43" ht="12.75" hidden="1" customHeight="1" x14ac:dyDescent="0.2">
      <c r="B42" s="256"/>
      <c r="C42" s="257"/>
      <c r="D42" s="250"/>
      <c r="E42" s="250"/>
      <c r="F42" s="563" t="s">
        <v>218</v>
      </c>
      <c r="G42" s="269" t="str">
        <f t="shared" ref="G42:G50" si="48">G30</f>
        <v>Ferien</v>
      </c>
      <c r="H42" s="270">
        <f t="shared" ref="H42:AL42" si="49">H30*TaginSt*H$9/100</f>
        <v>0</v>
      </c>
      <c r="I42" s="270">
        <f t="shared" si="49"/>
        <v>0</v>
      </c>
      <c r="J42" s="270">
        <f t="shared" si="49"/>
        <v>0</v>
      </c>
      <c r="K42" s="270">
        <f t="shared" si="49"/>
        <v>0</v>
      </c>
      <c r="L42" s="270">
        <f t="shared" si="49"/>
        <v>0</v>
      </c>
      <c r="M42" s="270">
        <f t="shared" si="49"/>
        <v>0</v>
      </c>
      <c r="N42" s="270">
        <f t="shared" si="49"/>
        <v>0</v>
      </c>
      <c r="O42" s="270">
        <f t="shared" si="49"/>
        <v>0</v>
      </c>
      <c r="P42" s="270">
        <f t="shared" si="49"/>
        <v>0</v>
      </c>
      <c r="Q42" s="270">
        <f t="shared" si="49"/>
        <v>0</v>
      </c>
      <c r="R42" s="270">
        <f t="shared" si="49"/>
        <v>0</v>
      </c>
      <c r="S42" s="270">
        <f t="shared" si="49"/>
        <v>0</v>
      </c>
      <c r="T42" s="270">
        <f t="shared" si="49"/>
        <v>0</v>
      </c>
      <c r="U42" s="270">
        <f t="shared" si="49"/>
        <v>0</v>
      </c>
      <c r="V42" s="270">
        <f t="shared" si="49"/>
        <v>0</v>
      </c>
      <c r="W42" s="270">
        <f t="shared" si="49"/>
        <v>0</v>
      </c>
      <c r="X42" s="270">
        <f t="shared" si="49"/>
        <v>0</v>
      </c>
      <c r="Y42" s="270">
        <f t="shared" si="49"/>
        <v>0</v>
      </c>
      <c r="Z42" s="270">
        <f t="shared" si="49"/>
        <v>0</v>
      </c>
      <c r="AA42" s="270">
        <f t="shared" si="49"/>
        <v>0</v>
      </c>
      <c r="AB42" s="270">
        <f t="shared" si="49"/>
        <v>0</v>
      </c>
      <c r="AC42" s="270">
        <f t="shared" si="49"/>
        <v>0</v>
      </c>
      <c r="AD42" s="270">
        <f t="shared" si="49"/>
        <v>0</v>
      </c>
      <c r="AE42" s="270">
        <f t="shared" si="49"/>
        <v>0</v>
      </c>
      <c r="AF42" s="270">
        <f t="shared" si="49"/>
        <v>0</v>
      </c>
      <c r="AG42" s="270">
        <f t="shared" si="49"/>
        <v>0</v>
      </c>
      <c r="AH42" s="270">
        <f t="shared" si="49"/>
        <v>0</v>
      </c>
      <c r="AI42" s="270">
        <f t="shared" si="49"/>
        <v>0</v>
      </c>
      <c r="AJ42" s="270">
        <f t="shared" si="49"/>
        <v>0</v>
      </c>
      <c r="AK42" s="270">
        <f t="shared" si="49"/>
        <v>0</v>
      </c>
      <c r="AL42" s="270">
        <f t="shared" si="49"/>
        <v>0</v>
      </c>
      <c r="AM42" s="271">
        <f t="shared" ref="AM42:AM55" si="50">SUM(H42:AL42)</f>
        <v>0</v>
      </c>
      <c r="AN42" s="272"/>
      <c r="AO42" s="562" t="s">
        <v>198</v>
      </c>
    </row>
    <row r="43" spans="2:43" ht="12.75" hidden="1" customHeight="1" x14ac:dyDescent="0.2">
      <c r="B43" s="256"/>
      <c r="C43" s="257"/>
      <c r="D43" s="250"/>
      <c r="E43" s="250"/>
      <c r="F43" s="564"/>
      <c r="G43" s="269" t="str">
        <f t="shared" si="48"/>
        <v>Krank./Unfall (%)</v>
      </c>
      <c r="H43" s="270">
        <f t="shared" ref="H43:AL43" si="51">H31*H14</f>
        <v>0</v>
      </c>
      <c r="I43" s="270">
        <f t="shared" si="51"/>
        <v>0</v>
      </c>
      <c r="J43" s="270">
        <f t="shared" si="51"/>
        <v>0</v>
      </c>
      <c r="K43" s="270">
        <f t="shared" si="51"/>
        <v>0</v>
      </c>
      <c r="L43" s="270">
        <f t="shared" si="51"/>
        <v>0</v>
      </c>
      <c r="M43" s="270">
        <f t="shared" si="51"/>
        <v>0</v>
      </c>
      <c r="N43" s="270">
        <f t="shared" si="51"/>
        <v>0</v>
      </c>
      <c r="O43" s="270">
        <f t="shared" si="51"/>
        <v>0</v>
      </c>
      <c r="P43" s="270">
        <f t="shared" si="51"/>
        <v>0</v>
      </c>
      <c r="Q43" s="270">
        <f t="shared" si="51"/>
        <v>0</v>
      </c>
      <c r="R43" s="270">
        <f t="shared" si="51"/>
        <v>0</v>
      </c>
      <c r="S43" s="270">
        <f t="shared" si="51"/>
        <v>0</v>
      </c>
      <c r="T43" s="270">
        <f t="shared" si="51"/>
        <v>0</v>
      </c>
      <c r="U43" s="270">
        <f t="shared" si="51"/>
        <v>0</v>
      </c>
      <c r="V43" s="270">
        <f t="shared" si="51"/>
        <v>0</v>
      </c>
      <c r="W43" s="270">
        <f t="shared" si="51"/>
        <v>0</v>
      </c>
      <c r="X43" s="270">
        <f t="shared" si="51"/>
        <v>0</v>
      </c>
      <c r="Y43" s="270">
        <f t="shared" si="51"/>
        <v>0</v>
      </c>
      <c r="Z43" s="270">
        <f t="shared" si="51"/>
        <v>0</v>
      </c>
      <c r="AA43" s="270">
        <f t="shared" si="51"/>
        <v>0</v>
      </c>
      <c r="AB43" s="270">
        <f t="shared" si="51"/>
        <v>0</v>
      </c>
      <c r="AC43" s="270">
        <f t="shared" si="51"/>
        <v>0</v>
      </c>
      <c r="AD43" s="270">
        <f t="shared" si="51"/>
        <v>0</v>
      </c>
      <c r="AE43" s="270">
        <f t="shared" si="51"/>
        <v>0</v>
      </c>
      <c r="AF43" s="270">
        <f t="shared" si="51"/>
        <v>0</v>
      </c>
      <c r="AG43" s="270">
        <f t="shared" si="51"/>
        <v>0</v>
      </c>
      <c r="AH43" s="270">
        <f t="shared" si="51"/>
        <v>0</v>
      </c>
      <c r="AI43" s="270">
        <f t="shared" si="51"/>
        <v>0</v>
      </c>
      <c r="AJ43" s="270">
        <f t="shared" si="51"/>
        <v>0</v>
      </c>
      <c r="AK43" s="270">
        <f t="shared" si="51"/>
        <v>0</v>
      </c>
      <c r="AL43" s="270">
        <f t="shared" si="51"/>
        <v>0</v>
      </c>
      <c r="AM43" s="271">
        <f t="shared" si="50"/>
        <v>0</v>
      </c>
      <c r="AN43" s="272"/>
      <c r="AO43" s="562"/>
    </row>
    <row r="44" spans="2:43" ht="12.75" hidden="1" customHeight="1" x14ac:dyDescent="0.2">
      <c r="B44" s="256"/>
      <c r="C44" s="257"/>
      <c r="D44" s="250"/>
      <c r="E44" s="250"/>
      <c r="F44" s="564"/>
      <c r="G44" s="269" t="str">
        <f t="shared" si="48"/>
        <v>Kurzurl./öff. Amt</v>
      </c>
      <c r="H44" s="270">
        <f t="shared" ref="H44:AL44" si="52">H32*TaginSt*H$9/100</f>
        <v>0</v>
      </c>
      <c r="I44" s="270">
        <f t="shared" si="52"/>
        <v>0</v>
      </c>
      <c r="J44" s="270">
        <f t="shared" si="52"/>
        <v>0</v>
      </c>
      <c r="K44" s="270">
        <f t="shared" si="52"/>
        <v>0</v>
      </c>
      <c r="L44" s="270">
        <f t="shared" si="52"/>
        <v>0</v>
      </c>
      <c r="M44" s="270">
        <f t="shared" si="52"/>
        <v>0</v>
      </c>
      <c r="N44" s="270">
        <f t="shared" si="52"/>
        <v>0</v>
      </c>
      <c r="O44" s="270">
        <f t="shared" si="52"/>
        <v>0</v>
      </c>
      <c r="P44" s="273">
        <f t="shared" si="52"/>
        <v>0</v>
      </c>
      <c r="Q44" s="270">
        <f t="shared" si="52"/>
        <v>0</v>
      </c>
      <c r="R44" s="270">
        <f t="shared" si="52"/>
        <v>0</v>
      </c>
      <c r="S44" s="270">
        <f t="shared" si="52"/>
        <v>0</v>
      </c>
      <c r="T44" s="270">
        <f t="shared" si="52"/>
        <v>0</v>
      </c>
      <c r="U44" s="270">
        <f t="shared" si="52"/>
        <v>0</v>
      </c>
      <c r="V44" s="270">
        <f t="shared" si="52"/>
        <v>0</v>
      </c>
      <c r="W44" s="270">
        <f t="shared" si="52"/>
        <v>0</v>
      </c>
      <c r="X44" s="270">
        <f t="shared" si="52"/>
        <v>0</v>
      </c>
      <c r="Y44" s="270">
        <f t="shared" si="52"/>
        <v>0</v>
      </c>
      <c r="Z44" s="270">
        <f t="shared" si="52"/>
        <v>0</v>
      </c>
      <c r="AA44" s="270">
        <f t="shared" si="52"/>
        <v>0</v>
      </c>
      <c r="AB44" s="270">
        <f t="shared" si="52"/>
        <v>0</v>
      </c>
      <c r="AC44" s="270">
        <f t="shared" si="52"/>
        <v>0</v>
      </c>
      <c r="AD44" s="270">
        <f t="shared" si="52"/>
        <v>0</v>
      </c>
      <c r="AE44" s="270">
        <f t="shared" si="52"/>
        <v>0</v>
      </c>
      <c r="AF44" s="270">
        <f t="shared" si="52"/>
        <v>0</v>
      </c>
      <c r="AG44" s="270">
        <f t="shared" si="52"/>
        <v>0</v>
      </c>
      <c r="AH44" s="270">
        <f t="shared" si="52"/>
        <v>0</v>
      </c>
      <c r="AI44" s="270">
        <f t="shared" si="52"/>
        <v>0</v>
      </c>
      <c r="AJ44" s="270">
        <f t="shared" si="52"/>
        <v>0</v>
      </c>
      <c r="AK44" s="270">
        <f t="shared" si="52"/>
        <v>0</v>
      </c>
      <c r="AL44" s="270">
        <f t="shared" si="52"/>
        <v>0</v>
      </c>
      <c r="AM44" s="271">
        <f t="shared" si="50"/>
        <v>0</v>
      </c>
      <c r="AN44" s="272"/>
      <c r="AO44" s="562"/>
    </row>
    <row r="45" spans="2:43" ht="12.75" hidden="1" customHeight="1" x14ac:dyDescent="0.2">
      <c r="B45" s="256"/>
      <c r="C45" s="257"/>
      <c r="D45" s="250"/>
      <c r="E45" s="250"/>
      <c r="F45" s="564"/>
      <c r="G45" s="269" t="str">
        <f t="shared" si="48"/>
        <v>Militär/CT/ZS/J&amp;S</v>
      </c>
      <c r="H45" s="270">
        <f t="shared" ref="H45:AL45" si="53">H33*TaginSt*H$9/100</f>
        <v>0</v>
      </c>
      <c r="I45" s="270">
        <f t="shared" si="53"/>
        <v>0</v>
      </c>
      <c r="J45" s="270">
        <f t="shared" si="53"/>
        <v>0</v>
      </c>
      <c r="K45" s="270">
        <f t="shared" si="53"/>
        <v>0</v>
      </c>
      <c r="L45" s="270">
        <f t="shared" si="53"/>
        <v>0</v>
      </c>
      <c r="M45" s="270">
        <f t="shared" si="53"/>
        <v>0</v>
      </c>
      <c r="N45" s="270">
        <f t="shared" si="53"/>
        <v>0</v>
      </c>
      <c r="O45" s="270">
        <f t="shared" si="53"/>
        <v>0</v>
      </c>
      <c r="P45" s="270">
        <f t="shared" si="53"/>
        <v>0</v>
      </c>
      <c r="Q45" s="270">
        <f t="shared" si="53"/>
        <v>0</v>
      </c>
      <c r="R45" s="270">
        <f t="shared" si="53"/>
        <v>0</v>
      </c>
      <c r="S45" s="270">
        <f t="shared" si="53"/>
        <v>0</v>
      </c>
      <c r="T45" s="270">
        <f t="shared" si="53"/>
        <v>0</v>
      </c>
      <c r="U45" s="270">
        <f t="shared" si="53"/>
        <v>0</v>
      </c>
      <c r="V45" s="270">
        <f t="shared" si="53"/>
        <v>0</v>
      </c>
      <c r="W45" s="270">
        <f t="shared" si="53"/>
        <v>0</v>
      </c>
      <c r="X45" s="270">
        <f t="shared" si="53"/>
        <v>0</v>
      </c>
      <c r="Y45" s="270">
        <f t="shared" si="53"/>
        <v>0</v>
      </c>
      <c r="Z45" s="270">
        <f t="shared" si="53"/>
        <v>0</v>
      </c>
      <c r="AA45" s="270">
        <f t="shared" si="53"/>
        <v>0</v>
      </c>
      <c r="AB45" s="270">
        <f t="shared" si="53"/>
        <v>0</v>
      </c>
      <c r="AC45" s="270">
        <f t="shared" si="53"/>
        <v>0</v>
      </c>
      <c r="AD45" s="270">
        <f t="shared" si="53"/>
        <v>0</v>
      </c>
      <c r="AE45" s="270">
        <f t="shared" si="53"/>
        <v>0</v>
      </c>
      <c r="AF45" s="270">
        <f t="shared" si="53"/>
        <v>0</v>
      </c>
      <c r="AG45" s="270">
        <f t="shared" si="53"/>
        <v>0</v>
      </c>
      <c r="AH45" s="270">
        <f t="shared" si="53"/>
        <v>0</v>
      </c>
      <c r="AI45" s="270">
        <f t="shared" si="53"/>
        <v>0</v>
      </c>
      <c r="AJ45" s="270">
        <f t="shared" si="53"/>
        <v>0</v>
      </c>
      <c r="AK45" s="270">
        <f t="shared" si="53"/>
        <v>0</v>
      </c>
      <c r="AL45" s="270">
        <f t="shared" si="53"/>
        <v>0</v>
      </c>
      <c r="AM45" s="271">
        <f t="shared" si="50"/>
        <v>0</v>
      </c>
      <c r="AN45" s="272"/>
      <c r="AO45" s="562"/>
    </row>
    <row r="46" spans="2:43" ht="12.75" hidden="1" customHeight="1" x14ac:dyDescent="0.2">
      <c r="B46" s="256"/>
      <c r="C46" s="257"/>
      <c r="D46" s="250"/>
      <c r="E46" s="250"/>
      <c r="F46" s="564"/>
      <c r="G46" s="269" t="str">
        <f t="shared" si="48"/>
        <v>Weiterbildung</v>
      </c>
      <c r="H46" s="270">
        <f t="shared" ref="H46:AL46" si="54">H34*TaginSt*H$9/100</f>
        <v>0</v>
      </c>
      <c r="I46" s="270">
        <f t="shared" si="54"/>
        <v>0</v>
      </c>
      <c r="J46" s="270">
        <f t="shared" si="54"/>
        <v>0</v>
      </c>
      <c r="K46" s="270">
        <f t="shared" si="54"/>
        <v>0</v>
      </c>
      <c r="L46" s="270">
        <f t="shared" si="54"/>
        <v>0</v>
      </c>
      <c r="M46" s="270">
        <f t="shared" si="54"/>
        <v>0</v>
      </c>
      <c r="N46" s="270">
        <f t="shared" si="54"/>
        <v>0</v>
      </c>
      <c r="O46" s="270">
        <f t="shared" si="54"/>
        <v>0</v>
      </c>
      <c r="P46" s="270">
        <f t="shared" si="54"/>
        <v>0</v>
      </c>
      <c r="Q46" s="270">
        <f t="shared" si="54"/>
        <v>0</v>
      </c>
      <c r="R46" s="270">
        <f t="shared" si="54"/>
        <v>0</v>
      </c>
      <c r="S46" s="270">
        <f t="shared" si="54"/>
        <v>0</v>
      </c>
      <c r="T46" s="270">
        <f t="shared" si="54"/>
        <v>0</v>
      </c>
      <c r="U46" s="270">
        <f t="shared" si="54"/>
        <v>0</v>
      </c>
      <c r="V46" s="270">
        <f t="shared" si="54"/>
        <v>0</v>
      </c>
      <c r="W46" s="270">
        <f t="shared" si="54"/>
        <v>0</v>
      </c>
      <c r="X46" s="270">
        <f t="shared" si="54"/>
        <v>0</v>
      </c>
      <c r="Y46" s="270">
        <f t="shared" si="54"/>
        <v>0</v>
      </c>
      <c r="Z46" s="270">
        <f t="shared" si="54"/>
        <v>0</v>
      </c>
      <c r="AA46" s="270">
        <f t="shared" si="54"/>
        <v>0</v>
      </c>
      <c r="AB46" s="270">
        <f t="shared" si="54"/>
        <v>0</v>
      </c>
      <c r="AC46" s="270">
        <f t="shared" si="54"/>
        <v>0</v>
      </c>
      <c r="AD46" s="270">
        <f t="shared" si="54"/>
        <v>0</v>
      </c>
      <c r="AE46" s="270">
        <f t="shared" si="54"/>
        <v>0</v>
      </c>
      <c r="AF46" s="270">
        <f t="shared" si="54"/>
        <v>0</v>
      </c>
      <c r="AG46" s="270">
        <f t="shared" si="54"/>
        <v>0</v>
      </c>
      <c r="AH46" s="270">
        <f t="shared" si="54"/>
        <v>0</v>
      </c>
      <c r="AI46" s="270">
        <f t="shared" si="54"/>
        <v>0</v>
      </c>
      <c r="AJ46" s="270">
        <f t="shared" si="54"/>
        <v>0</v>
      </c>
      <c r="AK46" s="270">
        <f t="shared" si="54"/>
        <v>0</v>
      </c>
      <c r="AL46" s="270">
        <f t="shared" si="54"/>
        <v>0</v>
      </c>
      <c r="AM46" s="271">
        <f t="shared" si="50"/>
        <v>0</v>
      </c>
      <c r="AN46" s="272"/>
      <c r="AO46" s="562"/>
    </row>
    <row r="47" spans="2:43" ht="12.75" hidden="1" customHeight="1" x14ac:dyDescent="0.2">
      <c r="B47" s="256"/>
      <c r="C47" s="257"/>
      <c r="D47" s="250"/>
      <c r="E47" s="250"/>
      <c r="F47" s="564"/>
      <c r="G47" s="269" t="str">
        <f t="shared" si="48"/>
        <v>Studienurlaub</v>
      </c>
      <c r="H47" s="270">
        <f t="shared" ref="H47:AL47" si="55">H35*TaginSt*H$9/100</f>
        <v>0</v>
      </c>
      <c r="I47" s="270">
        <f t="shared" si="55"/>
        <v>0</v>
      </c>
      <c r="J47" s="270">
        <f t="shared" si="55"/>
        <v>0</v>
      </c>
      <c r="K47" s="270">
        <f t="shared" si="55"/>
        <v>0</v>
      </c>
      <c r="L47" s="270">
        <f t="shared" si="55"/>
        <v>0</v>
      </c>
      <c r="M47" s="270">
        <f t="shared" si="55"/>
        <v>0</v>
      </c>
      <c r="N47" s="270">
        <f t="shared" si="55"/>
        <v>0</v>
      </c>
      <c r="O47" s="270">
        <f t="shared" si="55"/>
        <v>0</v>
      </c>
      <c r="P47" s="270">
        <f t="shared" si="55"/>
        <v>0</v>
      </c>
      <c r="Q47" s="270">
        <f t="shared" si="55"/>
        <v>0</v>
      </c>
      <c r="R47" s="270">
        <f t="shared" si="55"/>
        <v>0</v>
      </c>
      <c r="S47" s="270">
        <f t="shared" si="55"/>
        <v>0</v>
      </c>
      <c r="T47" s="270">
        <f t="shared" si="55"/>
        <v>0</v>
      </c>
      <c r="U47" s="270">
        <f t="shared" si="55"/>
        <v>0</v>
      </c>
      <c r="V47" s="270">
        <f t="shared" si="55"/>
        <v>0</v>
      </c>
      <c r="W47" s="270">
        <f t="shared" si="55"/>
        <v>0</v>
      </c>
      <c r="X47" s="270">
        <f t="shared" si="55"/>
        <v>0</v>
      </c>
      <c r="Y47" s="270">
        <f t="shared" si="55"/>
        <v>0</v>
      </c>
      <c r="Z47" s="270">
        <f t="shared" si="55"/>
        <v>0</v>
      </c>
      <c r="AA47" s="270">
        <f t="shared" si="55"/>
        <v>0</v>
      </c>
      <c r="AB47" s="270">
        <f t="shared" si="55"/>
        <v>0</v>
      </c>
      <c r="AC47" s="270">
        <f t="shared" si="55"/>
        <v>0</v>
      </c>
      <c r="AD47" s="270">
        <f t="shared" si="55"/>
        <v>0</v>
      </c>
      <c r="AE47" s="270">
        <f t="shared" si="55"/>
        <v>0</v>
      </c>
      <c r="AF47" s="270">
        <f t="shared" si="55"/>
        <v>0</v>
      </c>
      <c r="AG47" s="270">
        <f t="shared" si="55"/>
        <v>0</v>
      </c>
      <c r="AH47" s="270">
        <f t="shared" si="55"/>
        <v>0</v>
      </c>
      <c r="AI47" s="270">
        <f t="shared" si="55"/>
        <v>0</v>
      </c>
      <c r="AJ47" s="270">
        <f t="shared" si="55"/>
        <v>0</v>
      </c>
      <c r="AK47" s="270">
        <f t="shared" si="55"/>
        <v>0</v>
      </c>
      <c r="AL47" s="270">
        <f t="shared" si="55"/>
        <v>0</v>
      </c>
      <c r="AM47" s="271">
        <f>SUM(H47:AL47)</f>
        <v>0</v>
      </c>
      <c r="AN47" s="272"/>
      <c r="AO47" s="562"/>
    </row>
    <row r="48" spans="2:43" ht="12.75" hidden="1" customHeight="1" x14ac:dyDescent="0.2">
      <c r="B48" s="256"/>
      <c r="C48" s="257"/>
      <c r="D48" s="250"/>
      <c r="E48" s="250"/>
      <c r="F48" s="564"/>
      <c r="G48" s="269" t="str">
        <f t="shared" si="48"/>
        <v>Mu-/Vat.</v>
      </c>
      <c r="H48" s="270">
        <f t="shared" ref="H48:AL48" si="56">H36*TaginSt*H$9/100</f>
        <v>0</v>
      </c>
      <c r="I48" s="270">
        <f t="shared" si="56"/>
        <v>0</v>
      </c>
      <c r="J48" s="270">
        <f t="shared" si="56"/>
        <v>0</v>
      </c>
      <c r="K48" s="270">
        <f t="shared" si="56"/>
        <v>0</v>
      </c>
      <c r="L48" s="270">
        <f t="shared" si="56"/>
        <v>0</v>
      </c>
      <c r="M48" s="270">
        <f t="shared" si="56"/>
        <v>0</v>
      </c>
      <c r="N48" s="270">
        <f t="shared" si="56"/>
        <v>0</v>
      </c>
      <c r="O48" s="270">
        <f t="shared" si="56"/>
        <v>0</v>
      </c>
      <c r="P48" s="270">
        <f t="shared" si="56"/>
        <v>0</v>
      </c>
      <c r="Q48" s="270">
        <f t="shared" si="56"/>
        <v>0</v>
      </c>
      <c r="R48" s="270">
        <f t="shared" si="56"/>
        <v>0</v>
      </c>
      <c r="S48" s="270">
        <f t="shared" si="56"/>
        <v>0</v>
      </c>
      <c r="T48" s="270">
        <f t="shared" si="56"/>
        <v>0</v>
      </c>
      <c r="U48" s="270">
        <f t="shared" si="56"/>
        <v>0</v>
      </c>
      <c r="V48" s="270">
        <f t="shared" si="56"/>
        <v>0</v>
      </c>
      <c r="W48" s="270">
        <f t="shared" si="56"/>
        <v>0</v>
      </c>
      <c r="X48" s="270">
        <f t="shared" si="56"/>
        <v>0</v>
      </c>
      <c r="Y48" s="270">
        <f t="shared" si="56"/>
        <v>0</v>
      </c>
      <c r="Z48" s="270">
        <f t="shared" si="56"/>
        <v>0</v>
      </c>
      <c r="AA48" s="270">
        <f t="shared" si="56"/>
        <v>0</v>
      </c>
      <c r="AB48" s="270">
        <f t="shared" si="56"/>
        <v>0</v>
      </c>
      <c r="AC48" s="270">
        <f t="shared" si="56"/>
        <v>0</v>
      </c>
      <c r="AD48" s="270">
        <f t="shared" si="56"/>
        <v>0</v>
      </c>
      <c r="AE48" s="270">
        <f t="shared" si="56"/>
        <v>0</v>
      </c>
      <c r="AF48" s="270">
        <f t="shared" si="56"/>
        <v>0</v>
      </c>
      <c r="AG48" s="270">
        <f t="shared" si="56"/>
        <v>0</v>
      </c>
      <c r="AH48" s="270">
        <f t="shared" si="56"/>
        <v>0</v>
      </c>
      <c r="AI48" s="270">
        <f t="shared" si="56"/>
        <v>0</v>
      </c>
      <c r="AJ48" s="270">
        <f t="shared" si="56"/>
        <v>0</v>
      </c>
      <c r="AK48" s="270">
        <f t="shared" si="56"/>
        <v>0</v>
      </c>
      <c r="AL48" s="270">
        <f t="shared" si="56"/>
        <v>0</v>
      </c>
      <c r="AM48" s="271">
        <f t="shared" si="50"/>
        <v>0</v>
      </c>
      <c r="AN48" s="272"/>
      <c r="AO48" s="562"/>
    </row>
    <row r="49" spans="2:41" ht="12.75" hidden="1" customHeight="1" x14ac:dyDescent="0.2">
      <c r="B49" s="256"/>
      <c r="C49" s="257"/>
      <c r="D49" s="250"/>
      <c r="E49" s="250"/>
      <c r="F49" s="564"/>
      <c r="G49" s="269" t="str">
        <f t="shared" si="48"/>
        <v>Treueprämie</v>
      </c>
      <c r="H49" s="270">
        <f t="shared" ref="H49:AL49" si="57">H37*TaginSt*H$9/100</f>
        <v>0</v>
      </c>
      <c r="I49" s="270">
        <f t="shared" si="57"/>
        <v>0</v>
      </c>
      <c r="J49" s="270">
        <f t="shared" si="57"/>
        <v>0</v>
      </c>
      <c r="K49" s="270">
        <f t="shared" si="57"/>
        <v>0</v>
      </c>
      <c r="L49" s="270">
        <f t="shared" si="57"/>
        <v>0</v>
      </c>
      <c r="M49" s="270">
        <f t="shared" si="57"/>
        <v>0</v>
      </c>
      <c r="N49" s="270">
        <f t="shared" si="57"/>
        <v>0</v>
      </c>
      <c r="O49" s="270">
        <f t="shared" si="57"/>
        <v>0</v>
      </c>
      <c r="P49" s="270">
        <f t="shared" si="57"/>
        <v>0</v>
      </c>
      <c r="Q49" s="270">
        <f t="shared" si="57"/>
        <v>0</v>
      </c>
      <c r="R49" s="270">
        <f t="shared" si="57"/>
        <v>0</v>
      </c>
      <c r="S49" s="270">
        <f t="shared" si="57"/>
        <v>0</v>
      </c>
      <c r="T49" s="270">
        <f t="shared" si="57"/>
        <v>0</v>
      </c>
      <c r="U49" s="270">
        <f t="shared" si="57"/>
        <v>0</v>
      </c>
      <c r="V49" s="270">
        <f t="shared" si="57"/>
        <v>0</v>
      </c>
      <c r="W49" s="270">
        <f t="shared" si="57"/>
        <v>0</v>
      </c>
      <c r="X49" s="270">
        <f t="shared" si="57"/>
        <v>0</v>
      </c>
      <c r="Y49" s="270">
        <f t="shared" si="57"/>
        <v>0</v>
      </c>
      <c r="Z49" s="270">
        <f t="shared" si="57"/>
        <v>0</v>
      </c>
      <c r="AA49" s="270">
        <f t="shared" si="57"/>
        <v>0</v>
      </c>
      <c r="AB49" s="270">
        <f t="shared" si="57"/>
        <v>0</v>
      </c>
      <c r="AC49" s="270">
        <f t="shared" si="57"/>
        <v>0</v>
      </c>
      <c r="AD49" s="270">
        <f t="shared" si="57"/>
        <v>0</v>
      </c>
      <c r="AE49" s="270">
        <f t="shared" si="57"/>
        <v>0</v>
      </c>
      <c r="AF49" s="270">
        <f t="shared" si="57"/>
        <v>0</v>
      </c>
      <c r="AG49" s="270">
        <f t="shared" si="57"/>
        <v>0</v>
      </c>
      <c r="AH49" s="270">
        <f t="shared" si="57"/>
        <v>0</v>
      </c>
      <c r="AI49" s="270">
        <f t="shared" si="57"/>
        <v>0</v>
      </c>
      <c r="AJ49" s="270">
        <f t="shared" si="57"/>
        <v>0</v>
      </c>
      <c r="AK49" s="270">
        <f t="shared" si="57"/>
        <v>0</v>
      </c>
      <c r="AL49" s="270">
        <f t="shared" si="57"/>
        <v>0</v>
      </c>
      <c r="AM49" s="271">
        <f t="shared" si="50"/>
        <v>0</v>
      </c>
      <c r="AN49" s="272"/>
      <c r="AO49" s="562"/>
    </row>
    <row r="50" spans="2:41" ht="12.75" hidden="1" customHeight="1" x14ac:dyDescent="0.2">
      <c r="B50" s="256"/>
      <c r="C50" s="257"/>
      <c r="D50" s="250"/>
      <c r="E50" s="250"/>
      <c r="F50" s="564"/>
      <c r="G50" s="269" t="str">
        <f t="shared" si="48"/>
        <v>Langzeitkonto</v>
      </c>
      <c r="H50" s="270">
        <f t="shared" ref="H50:AL50" si="58">H38*TaginSt*H$9/100</f>
        <v>0</v>
      </c>
      <c r="I50" s="270">
        <f t="shared" si="58"/>
        <v>0</v>
      </c>
      <c r="J50" s="270">
        <f t="shared" si="58"/>
        <v>0</v>
      </c>
      <c r="K50" s="270">
        <f t="shared" si="58"/>
        <v>0</v>
      </c>
      <c r="L50" s="270">
        <f t="shared" si="58"/>
        <v>0</v>
      </c>
      <c r="M50" s="270">
        <f t="shared" si="58"/>
        <v>0</v>
      </c>
      <c r="N50" s="270">
        <f t="shared" si="58"/>
        <v>0</v>
      </c>
      <c r="O50" s="270">
        <f t="shared" si="58"/>
        <v>0</v>
      </c>
      <c r="P50" s="270">
        <f t="shared" si="58"/>
        <v>0</v>
      </c>
      <c r="Q50" s="270">
        <f t="shared" si="58"/>
        <v>0</v>
      </c>
      <c r="R50" s="270">
        <f t="shared" si="58"/>
        <v>0</v>
      </c>
      <c r="S50" s="270">
        <f t="shared" si="58"/>
        <v>0</v>
      </c>
      <c r="T50" s="270">
        <f t="shared" si="58"/>
        <v>0</v>
      </c>
      <c r="U50" s="270">
        <f t="shared" si="58"/>
        <v>0</v>
      </c>
      <c r="V50" s="270">
        <f t="shared" si="58"/>
        <v>0</v>
      </c>
      <c r="W50" s="270">
        <f t="shared" si="58"/>
        <v>0</v>
      </c>
      <c r="X50" s="270">
        <f t="shared" si="58"/>
        <v>0</v>
      </c>
      <c r="Y50" s="270">
        <f t="shared" si="58"/>
        <v>0</v>
      </c>
      <c r="Z50" s="270">
        <f t="shared" si="58"/>
        <v>0</v>
      </c>
      <c r="AA50" s="270">
        <f t="shared" si="58"/>
        <v>0</v>
      </c>
      <c r="AB50" s="270">
        <f t="shared" si="58"/>
        <v>0</v>
      </c>
      <c r="AC50" s="270">
        <f t="shared" si="58"/>
        <v>0</v>
      </c>
      <c r="AD50" s="270">
        <f t="shared" si="58"/>
        <v>0</v>
      </c>
      <c r="AE50" s="270">
        <f t="shared" si="58"/>
        <v>0</v>
      </c>
      <c r="AF50" s="270">
        <f t="shared" si="58"/>
        <v>0</v>
      </c>
      <c r="AG50" s="270">
        <f t="shared" si="58"/>
        <v>0</v>
      </c>
      <c r="AH50" s="270">
        <f t="shared" si="58"/>
        <v>0</v>
      </c>
      <c r="AI50" s="270">
        <f t="shared" si="58"/>
        <v>0</v>
      </c>
      <c r="AJ50" s="270">
        <f t="shared" si="58"/>
        <v>0</v>
      </c>
      <c r="AK50" s="270">
        <f t="shared" si="58"/>
        <v>0</v>
      </c>
      <c r="AL50" s="270">
        <f t="shared" si="58"/>
        <v>0</v>
      </c>
      <c r="AM50" s="271">
        <f t="shared" si="50"/>
        <v>0</v>
      </c>
      <c r="AN50" s="272"/>
      <c r="AO50" s="562"/>
    </row>
    <row r="51" spans="2:41" ht="12.75" hidden="1" customHeight="1" x14ac:dyDescent="0.2">
      <c r="B51" s="256"/>
      <c r="C51" s="257"/>
      <c r="D51" s="250"/>
      <c r="E51" s="250"/>
      <c r="F51" s="564"/>
      <c r="G51" s="269" t="s">
        <v>168</v>
      </c>
      <c r="H51" s="270">
        <f t="shared" ref="H51:AI51" si="59">IF(OR(H3&gt;0,AND(H9=100,OR(WEEKDAY(H12,2)&lt;7,H1&gt;0))),H3+H14-H26,0)</f>
        <v>0</v>
      </c>
      <c r="I51" s="270">
        <f t="shared" si="59"/>
        <v>0</v>
      </c>
      <c r="J51" s="270">
        <f t="shared" si="59"/>
        <v>0</v>
      </c>
      <c r="K51" s="270">
        <f t="shared" si="59"/>
        <v>8.4</v>
      </c>
      <c r="L51" s="270">
        <f t="shared" si="59"/>
        <v>0</v>
      </c>
      <c r="M51" s="270">
        <f t="shared" si="59"/>
        <v>0</v>
      </c>
      <c r="N51" s="270">
        <f t="shared" si="59"/>
        <v>0</v>
      </c>
      <c r="O51" s="270">
        <f t="shared" si="59"/>
        <v>0</v>
      </c>
      <c r="P51" s="270">
        <f t="shared" si="59"/>
        <v>0</v>
      </c>
      <c r="Q51" s="270">
        <f t="shared" si="59"/>
        <v>0</v>
      </c>
      <c r="R51" s="270">
        <f t="shared" si="59"/>
        <v>8.4</v>
      </c>
      <c r="S51" s="270">
        <f t="shared" si="59"/>
        <v>0</v>
      </c>
      <c r="T51" s="270">
        <f t="shared" si="59"/>
        <v>0</v>
      </c>
      <c r="U51" s="270">
        <f t="shared" si="59"/>
        <v>0</v>
      </c>
      <c r="V51" s="270">
        <f t="shared" si="59"/>
        <v>0</v>
      </c>
      <c r="W51" s="270">
        <f t="shared" si="59"/>
        <v>0</v>
      </c>
      <c r="X51" s="270">
        <f t="shared" si="59"/>
        <v>0</v>
      </c>
      <c r="Y51" s="270">
        <f t="shared" si="59"/>
        <v>8.4</v>
      </c>
      <c r="Z51" s="270">
        <f t="shared" si="59"/>
        <v>0</v>
      </c>
      <c r="AA51" s="270">
        <f t="shared" si="59"/>
        <v>0</v>
      </c>
      <c r="AB51" s="270">
        <f t="shared" si="59"/>
        <v>0</v>
      </c>
      <c r="AC51" s="270">
        <f t="shared" si="59"/>
        <v>0</v>
      </c>
      <c r="AD51" s="270">
        <f t="shared" si="59"/>
        <v>0</v>
      </c>
      <c r="AE51" s="270">
        <f t="shared" si="59"/>
        <v>0</v>
      </c>
      <c r="AF51" s="270">
        <f t="shared" si="59"/>
        <v>8.4</v>
      </c>
      <c r="AG51" s="270">
        <f t="shared" si="59"/>
        <v>0</v>
      </c>
      <c r="AH51" s="270">
        <f t="shared" si="59"/>
        <v>0</v>
      </c>
      <c r="AI51" s="270">
        <f t="shared" si="59"/>
        <v>0</v>
      </c>
      <c r="AJ51" s="270">
        <f>IFERROR(IF(OR(AJ3&gt;0,AND(AJ9=100,OR(WEEKDAY(AJ12,2)&lt;7,AJ1&gt;0))),AJ3+AJ14-AJ26,0),"")</f>
        <v>0</v>
      </c>
      <c r="AK51" s="270">
        <f>IFERROR(IF(OR(AK3&gt;0,AND(AK9=100,OR(WEEKDAY(AK12,2)&lt;7,AK1&gt;0))),AK3+AK14-AK26,0),"")</f>
        <v>0</v>
      </c>
      <c r="AL51" s="270">
        <f>IFERROR(IF(OR(AL3&gt;0,AND(AL9=100,OR(WEEKDAY(AL12,2)&lt;7,AL1&gt;0))),AL3+AL14-AL26,0),"")</f>
        <v>0</v>
      </c>
      <c r="AM51" s="271">
        <f t="shared" si="50"/>
        <v>33.6</v>
      </c>
      <c r="AN51" s="272"/>
      <c r="AO51" s="562"/>
    </row>
    <row r="52" spans="2:41" ht="12.75" hidden="1" customHeight="1" x14ac:dyDescent="0.2">
      <c r="B52" s="256"/>
      <c r="C52" s="257"/>
      <c r="D52" s="250"/>
      <c r="E52" s="250"/>
      <c r="F52" s="564"/>
      <c r="G52" s="269" t="s">
        <v>170</v>
      </c>
      <c r="H52" s="270">
        <f t="shared" ref="H52:AI52" si="60">IF(H4&gt;0,IF(AND(H1&gt;0,H14+H4-H26&lt;=H4),H4,H14+H4-H26),0)</f>
        <v>0</v>
      </c>
      <c r="I52" s="270">
        <f t="shared" si="60"/>
        <v>0</v>
      </c>
      <c r="J52" s="270">
        <f t="shared" si="60"/>
        <v>8.4</v>
      </c>
      <c r="K52" s="270">
        <f t="shared" si="60"/>
        <v>0</v>
      </c>
      <c r="L52" s="270">
        <f t="shared" si="60"/>
        <v>0</v>
      </c>
      <c r="M52" s="270">
        <f t="shared" si="60"/>
        <v>8.4</v>
      </c>
      <c r="N52" s="270">
        <f t="shared" si="60"/>
        <v>8.4</v>
      </c>
      <c r="O52" s="270">
        <f t="shared" si="60"/>
        <v>8.4</v>
      </c>
      <c r="P52" s="270">
        <f t="shared" si="60"/>
        <v>8.4</v>
      </c>
      <c r="Q52" s="270">
        <f t="shared" si="60"/>
        <v>8.4</v>
      </c>
      <c r="R52" s="270">
        <f t="shared" si="60"/>
        <v>0</v>
      </c>
      <c r="S52" s="270">
        <f t="shared" si="60"/>
        <v>0</v>
      </c>
      <c r="T52" s="270">
        <f t="shared" si="60"/>
        <v>8.4</v>
      </c>
      <c r="U52" s="270">
        <f t="shared" si="60"/>
        <v>8.4</v>
      </c>
      <c r="V52" s="270">
        <f t="shared" si="60"/>
        <v>8.4</v>
      </c>
      <c r="W52" s="270">
        <f t="shared" si="60"/>
        <v>8.4</v>
      </c>
      <c r="X52" s="270">
        <f t="shared" si="60"/>
        <v>8.4</v>
      </c>
      <c r="Y52" s="270">
        <f t="shared" si="60"/>
        <v>0</v>
      </c>
      <c r="Z52" s="270">
        <f t="shared" si="60"/>
        <v>0</v>
      </c>
      <c r="AA52" s="270">
        <f t="shared" si="60"/>
        <v>8.4</v>
      </c>
      <c r="AB52" s="270">
        <f t="shared" si="60"/>
        <v>8.4</v>
      </c>
      <c r="AC52" s="270">
        <f t="shared" si="60"/>
        <v>8.4</v>
      </c>
      <c r="AD52" s="270">
        <f t="shared" si="60"/>
        <v>8.4</v>
      </c>
      <c r="AE52" s="270">
        <f t="shared" si="60"/>
        <v>8.4</v>
      </c>
      <c r="AF52" s="270">
        <f t="shared" si="60"/>
        <v>0</v>
      </c>
      <c r="AG52" s="270">
        <f t="shared" si="60"/>
        <v>0</v>
      </c>
      <c r="AH52" s="270">
        <f t="shared" si="60"/>
        <v>8.4</v>
      </c>
      <c r="AI52" s="270">
        <f t="shared" si="60"/>
        <v>8.4</v>
      </c>
      <c r="AJ52" s="270">
        <f>IFERROR(IF(AJ4&gt;0,IF(AND(AJ1&gt;0,AJ14+AJ4-AJ26&lt;=AJ4),AJ4,AJ14+AJ4-AJ26),0),"")</f>
        <v>8.4</v>
      </c>
      <c r="AK52" s="270">
        <f>IFERROR(IF(AK4&gt;0,IF(AND(AK1&gt;0,AK14+AK4-AK26&lt;=AK4),AK4,AK14+AK4-AK26),0),"")</f>
        <v>8.4</v>
      </c>
      <c r="AL52" s="270">
        <f>IFERROR(IF(AL4&gt;0,IF(AND(AL1&gt;0,AL14+AL4-AL26&lt;=AL4),AL4,AL14+AL4-AL26),0),"")</f>
        <v>8.4</v>
      </c>
      <c r="AM52" s="271">
        <f t="shared" si="50"/>
        <v>176.40000000000006</v>
      </c>
      <c r="AN52" s="272"/>
      <c r="AO52" s="562"/>
    </row>
    <row r="53" spans="2:41" ht="12.75" hidden="1" customHeight="1" x14ac:dyDescent="0.2">
      <c r="B53" s="256"/>
      <c r="C53" s="257"/>
      <c r="D53" s="250"/>
      <c r="E53" s="250"/>
      <c r="F53" s="564"/>
      <c r="G53" s="275" t="s">
        <v>173</v>
      </c>
      <c r="H53" s="270">
        <f>IFERROR(H51+H52,"")</f>
        <v>0</v>
      </c>
      <c r="I53" s="270">
        <f t="shared" ref="I53:AL53" si="61">IFERROR(I51+I52,"")</f>
        <v>0</v>
      </c>
      <c r="J53" s="270">
        <f t="shared" si="61"/>
        <v>8.4</v>
      </c>
      <c r="K53" s="270">
        <f t="shared" si="61"/>
        <v>8.4</v>
      </c>
      <c r="L53" s="270">
        <f t="shared" si="61"/>
        <v>0</v>
      </c>
      <c r="M53" s="270">
        <f t="shared" si="61"/>
        <v>8.4</v>
      </c>
      <c r="N53" s="270">
        <f t="shared" si="61"/>
        <v>8.4</v>
      </c>
      <c r="O53" s="270">
        <f t="shared" si="61"/>
        <v>8.4</v>
      </c>
      <c r="P53" s="270">
        <f t="shared" si="61"/>
        <v>8.4</v>
      </c>
      <c r="Q53" s="270">
        <f t="shared" si="61"/>
        <v>8.4</v>
      </c>
      <c r="R53" s="270">
        <f t="shared" si="61"/>
        <v>8.4</v>
      </c>
      <c r="S53" s="270">
        <f t="shared" si="61"/>
        <v>0</v>
      </c>
      <c r="T53" s="270">
        <f t="shared" si="61"/>
        <v>8.4</v>
      </c>
      <c r="U53" s="270">
        <f t="shared" si="61"/>
        <v>8.4</v>
      </c>
      <c r="V53" s="270">
        <f t="shared" si="61"/>
        <v>8.4</v>
      </c>
      <c r="W53" s="270">
        <f t="shared" si="61"/>
        <v>8.4</v>
      </c>
      <c r="X53" s="270">
        <f t="shared" si="61"/>
        <v>8.4</v>
      </c>
      <c r="Y53" s="270">
        <f t="shared" si="61"/>
        <v>8.4</v>
      </c>
      <c r="Z53" s="270">
        <f t="shared" si="61"/>
        <v>0</v>
      </c>
      <c r="AA53" s="270">
        <f t="shared" si="61"/>
        <v>8.4</v>
      </c>
      <c r="AB53" s="270">
        <f t="shared" si="61"/>
        <v>8.4</v>
      </c>
      <c r="AC53" s="270">
        <f t="shared" si="61"/>
        <v>8.4</v>
      </c>
      <c r="AD53" s="270">
        <f t="shared" si="61"/>
        <v>8.4</v>
      </c>
      <c r="AE53" s="270">
        <f t="shared" si="61"/>
        <v>8.4</v>
      </c>
      <c r="AF53" s="270">
        <f t="shared" si="61"/>
        <v>8.4</v>
      </c>
      <c r="AG53" s="270">
        <f t="shared" si="61"/>
        <v>0</v>
      </c>
      <c r="AH53" s="270">
        <f t="shared" si="61"/>
        <v>8.4</v>
      </c>
      <c r="AI53" s="270">
        <f t="shared" si="61"/>
        <v>8.4</v>
      </c>
      <c r="AJ53" s="270">
        <f t="shared" si="61"/>
        <v>8.4</v>
      </c>
      <c r="AK53" s="270">
        <f t="shared" si="61"/>
        <v>8.4</v>
      </c>
      <c r="AL53" s="270">
        <f t="shared" si="61"/>
        <v>8.4</v>
      </c>
      <c r="AM53" s="271">
        <f t="shared" si="50"/>
        <v>210.00000000000009</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62">IFERROR(IF(OR((WEEKDAY(I$12,2)=7),I1&gt;0),IF(AND(I26&gt;=I14,I26&gt;0),ROUND((I14-I26)*-1,2),""),""),"")</f>
        <v/>
      </c>
      <c r="J54" s="270" t="str">
        <f t="shared" si="62"/>
        <v/>
      </c>
      <c r="K54" s="270" t="str">
        <f t="shared" si="62"/>
        <v/>
      </c>
      <c r="L54" s="270" t="str">
        <f t="shared" si="62"/>
        <v/>
      </c>
      <c r="M54" s="270" t="str">
        <f t="shared" si="62"/>
        <v/>
      </c>
      <c r="N54" s="270" t="str">
        <f t="shared" si="62"/>
        <v/>
      </c>
      <c r="O54" s="270" t="str">
        <f t="shared" si="62"/>
        <v/>
      </c>
      <c r="P54" s="270" t="str">
        <f t="shared" si="62"/>
        <v/>
      </c>
      <c r="Q54" s="270" t="str">
        <f t="shared" si="62"/>
        <v/>
      </c>
      <c r="R54" s="270" t="str">
        <f t="shared" si="62"/>
        <v/>
      </c>
      <c r="S54" s="270" t="str">
        <f t="shared" si="62"/>
        <v/>
      </c>
      <c r="T54" s="270" t="str">
        <f t="shared" si="62"/>
        <v/>
      </c>
      <c r="U54" s="270" t="str">
        <f t="shared" si="62"/>
        <v/>
      </c>
      <c r="V54" s="270" t="str">
        <f t="shared" si="62"/>
        <v/>
      </c>
      <c r="W54" s="270" t="str">
        <f t="shared" si="62"/>
        <v/>
      </c>
      <c r="X54" s="270" t="str">
        <f t="shared" si="62"/>
        <v/>
      </c>
      <c r="Y54" s="270" t="str">
        <f t="shared" si="62"/>
        <v/>
      </c>
      <c r="Z54" s="270" t="str">
        <f t="shared" si="62"/>
        <v/>
      </c>
      <c r="AA54" s="270" t="str">
        <f t="shared" si="62"/>
        <v/>
      </c>
      <c r="AB54" s="270" t="str">
        <f t="shared" si="62"/>
        <v/>
      </c>
      <c r="AC54" s="270" t="str">
        <f t="shared" si="62"/>
        <v/>
      </c>
      <c r="AD54" s="270" t="str">
        <f t="shared" si="62"/>
        <v/>
      </c>
      <c r="AE54" s="270" t="str">
        <f t="shared" si="62"/>
        <v/>
      </c>
      <c r="AF54" s="270" t="str">
        <f t="shared" si="62"/>
        <v/>
      </c>
      <c r="AG54" s="270" t="str">
        <f t="shared" si="62"/>
        <v/>
      </c>
      <c r="AH54" s="270" t="str">
        <f t="shared" si="62"/>
        <v/>
      </c>
      <c r="AI54" s="270" t="str">
        <f t="shared" si="62"/>
        <v/>
      </c>
      <c r="AJ54" s="270" t="str">
        <f t="shared" si="62"/>
        <v/>
      </c>
      <c r="AK54" s="270" t="str">
        <f t="shared" si="62"/>
        <v/>
      </c>
      <c r="AL54" s="270" t="str">
        <f t="shared" si="62"/>
        <v/>
      </c>
      <c r="AM54" s="271">
        <f t="shared" si="50"/>
        <v>0</v>
      </c>
      <c r="AO54" s="461" t="str">
        <f>_xlfn.TEXTJOIN(" / ",TRUE,H54:AL54)</f>
        <v/>
      </c>
    </row>
    <row r="55" spans="2:41" ht="12.75" hidden="1" customHeight="1" x14ac:dyDescent="0.2">
      <c r="B55" s="256"/>
      <c r="C55" s="257"/>
      <c r="D55" s="250"/>
      <c r="E55" s="250"/>
      <c r="F55" s="565"/>
      <c r="G55" s="277" t="s">
        <v>185</v>
      </c>
      <c r="H55" s="270">
        <f t="shared" ref="H55:AL55" si="63">IF(AND(H14&gt;0,H26=0),(H6*TaginSt)-H4,0)</f>
        <v>0</v>
      </c>
      <c r="I55" s="270">
        <f t="shared" si="63"/>
        <v>0</v>
      </c>
      <c r="J55" s="270">
        <f t="shared" si="63"/>
        <v>6.72</v>
      </c>
      <c r="K55" s="270">
        <f t="shared" si="63"/>
        <v>0</v>
      </c>
      <c r="L55" s="270">
        <f t="shared" si="63"/>
        <v>0</v>
      </c>
      <c r="M55" s="270">
        <f t="shared" si="63"/>
        <v>6.72</v>
      </c>
      <c r="N55" s="270">
        <f t="shared" si="63"/>
        <v>6.72</v>
      </c>
      <c r="O55" s="270">
        <f t="shared" si="63"/>
        <v>6.72</v>
      </c>
      <c r="P55" s="270">
        <f t="shared" si="63"/>
        <v>6.72</v>
      </c>
      <c r="Q55" s="270">
        <f t="shared" si="63"/>
        <v>6.72</v>
      </c>
      <c r="R55" s="270">
        <f t="shared" si="63"/>
        <v>0</v>
      </c>
      <c r="S55" s="270">
        <f t="shared" si="63"/>
        <v>0</v>
      </c>
      <c r="T55" s="270">
        <f t="shared" si="63"/>
        <v>6.72</v>
      </c>
      <c r="U55" s="270">
        <f t="shared" si="63"/>
        <v>6.72</v>
      </c>
      <c r="V55" s="270">
        <f t="shared" si="63"/>
        <v>6.72</v>
      </c>
      <c r="W55" s="270">
        <f t="shared" si="63"/>
        <v>6.72</v>
      </c>
      <c r="X55" s="270">
        <f t="shared" si="63"/>
        <v>6.72</v>
      </c>
      <c r="Y55" s="270">
        <f t="shared" si="63"/>
        <v>0</v>
      </c>
      <c r="Z55" s="270">
        <f t="shared" si="63"/>
        <v>0</v>
      </c>
      <c r="AA55" s="270">
        <f t="shared" si="63"/>
        <v>6.72</v>
      </c>
      <c r="AB55" s="270">
        <f t="shared" si="63"/>
        <v>6.72</v>
      </c>
      <c r="AC55" s="270">
        <f t="shared" si="63"/>
        <v>6.72</v>
      </c>
      <c r="AD55" s="270">
        <f t="shared" si="63"/>
        <v>6.72</v>
      </c>
      <c r="AE55" s="270">
        <f t="shared" si="63"/>
        <v>6.72</v>
      </c>
      <c r="AF55" s="270">
        <f t="shared" si="63"/>
        <v>0</v>
      </c>
      <c r="AG55" s="270">
        <f t="shared" si="63"/>
        <v>0</v>
      </c>
      <c r="AH55" s="270">
        <f t="shared" si="63"/>
        <v>6.72</v>
      </c>
      <c r="AI55" s="270">
        <f t="shared" si="63"/>
        <v>6.72</v>
      </c>
      <c r="AJ55" s="270">
        <f t="shared" si="63"/>
        <v>6.72</v>
      </c>
      <c r="AK55" s="270">
        <f t="shared" si="63"/>
        <v>6.72</v>
      </c>
      <c r="AL55" s="270">
        <f t="shared" si="63"/>
        <v>6.72</v>
      </c>
      <c r="AM55" s="271">
        <f t="shared" si="50"/>
        <v>141.12</v>
      </c>
      <c r="AN55" s="272"/>
    </row>
    <row r="56" spans="2:41" ht="12.75" hidden="1" customHeight="1" x14ac:dyDescent="0.2">
      <c r="B56" s="256"/>
      <c r="C56" s="257"/>
      <c r="D56" s="250"/>
      <c r="E56" s="250"/>
      <c r="F56" s="583" t="s">
        <v>265</v>
      </c>
      <c r="G56" s="278" t="str">
        <f t="shared" ref="G56:G64" si="64">G30</f>
        <v>Ferien</v>
      </c>
      <c r="H56" s="279" t="str">
        <f>IF(OR(H42="",H42=0),"",ROUND(H42,2)&amp;" F")</f>
        <v/>
      </c>
      <c r="I56" s="279" t="str">
        <f t="shared" ref="I56:AL56" si="65">IF(OR(I42="",I42=0),"",ROUND(I42,2)&amp;" F")</f>
        <v/>
      </c>
      <c r="J56" s="279" t="str">
        <f t="shared" si="65"/>
        <v/>
      </c>
      <c r="K56" s="279" t="str">
        <f t="shared" si="65"/>
        <v/>
      </c>
      <c r="L56" s="279" t="str">
        <f t="shared" si="65"/>
        <v/>
      </c>
      <c r="M56" s="279" t="str">
        <f t="shared" si="65"/>
        <v/>
      </c>
      <c r="N56" s="279" t="str">
        <f t="shared" si="65"/>
        <v/>
      </c>
      <c r="O56" s="279" t="str">
        <f t="shared" si="65"/>
        <v/>
      </c>
      <c r="P56" s="279" t="str">
        <f t="shared" si="65"/>
        <v/>
      </c>
      <c r="Q56" s="279" t="str">
        <f t="shared" si="65"/>
        <v/>
      </c>
      <c r="R56" s="279" t="str">
        <f t="shared" si="65"/>
        <v/>
      </c>
      <c r="S56" s="279" t="str">
        <f t="shared" si="65"/>
        <v/>
      </c>
      <c r="T56" s="279" t="str">
        <f t="shared" si="65"/>
        <v/>
      </c>
      <c r="U56" s="279" t="str">
        <f t="shared" si="65"/>
        <v/>
      </c>
      <c r="V56" s="279" t="str">
        <f t="shared" si="65"/>
        <v/>
      </c>
      <c r="W56" s="279" t="str">
        <f t="shared" si="65"/>
        <v/>
      </c>
      <c r="X56" s="279" t="str">
        <f t="shared" si="65"/>
        <v/>
      </c>
      <c r="Y56" s="279" t="str">
        <f t="shared" si="65"/>
        <v/>
      </c>
      <c r="Z56" s="279" t="str">
        <f t="shared" si="65"/>
        <v/>
      </c>
      <c r="AA56" s="279" t="str">
        <f t="shared" si="65"/>
        <v/>
      </c>
      <c r="AB56" s="279" t="str">
        <f t="shared" si="65"/>
        <v/>
      </c>
      <c r="AC56" s="279" t="str">
        <f t="shared" si="65"/>
        <v/>
      </c>
      <c r="AD56" s="279" t="str">
        <f t="shared" si="65"/>
        <v/>
      </c>
      <c r="AE56" s="279" t="str">
        <f t="shared" si="65"/>
        <v/>
      </c>
      <c r="AF56" s="279" t="str">
        <f t="shared" si="65"/>
        <v/>
      </c>
      <c r="AG56" s="279" t="str">
        <f t="shared" si="65"/>
        <v/>
      </c>
      <c r="AH56" s="279" t="str">
        <f t="shared" si="65"/>
        <v/>
      </c>
      <c r="AI56" s="279" t="str">
        <f t="shared" si="65"/>
        <v/>
      </c>
      <c r="AJ56" s="279" t="str">
        <f t="shared" si="65"/>
        <v/>
      </c>
      <c r="AK56" s="279" t="str">
        <f t="shared" si="65"/>
        <v/>
      </c>
      <c r="AL56" s="279" t="str">
        <f t="shared" si="65"/>
        <v/>
      </c>
      <c r="AM56" s="280" t="str">
        <f>ROUND(AM42,2)&amp;" F"</f>
        <v>0 F</v>
      </c>
      <c r="AN56" s="272"/>
    </row>
    <row r="57" spans="2:41" ht="12.75" hidden="1" customHeight="1" x14ac:dyDescent="0.2">
      <c r="B57" s="256"/>
      <c r="C57" s="257"/>
      <c r="D57" s="250"/>
      <c r="E57" s="250"/>
      <c r="F57" s="584"/>
      <c r="G57" s="278" t="str">
        <f t="shared" si="64"/>
        <v>Krank./Unfall (%)</v>
      </c>
      <c r="H57" s="279" t="str">
        <f>IF(OR(H43="",H43=0),"",ROUND(H43,2)&amp;" K")</f>
        <v/>
      </c>
      <c r="I57" s="279" t="str">
        <f t="shared" ref="I57:AL57" si="66">IF(OR(I43="",I43=0),"",ROUND(I43,2)&amp;" K")</f>
        <v/>
      </c>
      <c r="J57" s="279" t="str">
        <f t="shared" si="66"/>
        <v/>
      </c>
      <c r="K57" s="279" t="str">
        <f t="shared" si="66"/>
        <v/>
      </c>
      <c r="L57" s="279" t="str">
        <f t="shared" si="66"/>
        <v/>
      </c>
      <c r="M57" s="279" t="str">
        <f t="shared" si="66"/>
        <v/>
      </c>
      <c r="N57" s="279" t="str">
        <f t="shared" si="66"/>
        <v/>
      </c>
      <c r="O57" s="279" t="str">
        <f t="shared" si="66"/>
        <v/>
      </c>
      <c r="P57" s="279" t="str">
        <f t="shared" si="66"/>
        <v/>
      </c>
      <c r="Q57" s="279" t="str">
        <f t="shared" si="66"/>
        <v/>
      </c>
      <c r="R57" s="279" t="str">
        <f t="shared" si="66"/>
        <v/>
      </c>
      <c r="S57" s="279" t="str">
        <f t="shared" si="66"/>
        <v/>
      </c>
      <c r="T57" s="279" t="str">
        <f t="shared" si="66"/>
        <v/>
      </c>
      <c r="U57" s="279" t="str">
        <f t="shared" si="66"/>
        <v/>
      </c>
      <c r="V57" s="279" t="str">
        <f t="shared" si="66"/>
        <v/>
      </c>
      <c r="W57" s="279" t="str">
        <f t="shared" si="66"/>
        <v/>
      </c>
      <c r="X57" s="279" t="str">
        <f t="shared" si="66"/>
        <v/>
      </c>
      <c r="Y57" s="279" t="str">
        <f t="shared" si="66"/>
        <v/>
      </c>
      <c r="Z57" s="279" t="str">
        <f t="shared" si="66"/>
        <v/>
      </c>
      <c r="AA57" s="279" t="str">
        <f t="shared" si="66"/>
        <v/>
      </c>
      <c r="AB57" s="279" t="str">
        <f t="shared" si="66"/>
        <v/>
      </c>
      <c r="AC57" s="279" t="str">
        <f t="shared" si="66"/>
        <v/>
      </c>
      <c r="AD57" s="279" t="str">
        <f t="shared" si="66"/>
        <v/>
      </c>
      <c r="AE57" s="279" t="str">
        <f t="shared" si="66"/>
        <v/>
      </c>
      <c r="AF57" s="279" t="str">
        <f t="shared" si="66"/>
        <v/>
      </c>
      <c r="AG57" s="279" t="str">
        <f t="shared" si="66"/>
        <v/>
      </c>
      <c r="AH57" s="279" t="str">
        <f t="shared" si="66"/>
        <v/>
      </c>
      <c r="AI57" s="279" t="str">
        <f t="shared" si="66"/>
        <v/>
      </c>
      <c r="AJ57" s="279" t="str">
        <f t="shared" si="66"/>
        <v/>
      </c>
      <c r="AK57" s="279" t="str">
        <f t="shared" si="66"/>
        <v/>
      </c>
      <c r="AL57" s="279" t="str">
        <f t="shared" si="66"/>
        <v/>
      </c>
      <c r="AM57" s="280" t="str">
        <f>ROUND(AM43,2)&amp;" K"</f>
        <v>0 K</v>
      </c>
      <c r="AN57" s="272"/>
    </row>
    <row r="58" spans="2:41" ht="12.75" hidden="1" customHeight="1" x14ac:dyDescent="0.2">
      <c r="B58" s="256"/>
      <c r="C58" s="257"/>
      <c r="D58" s="250"/>
      <c r="E58" s="250"/>
      <c r="F58" s="584"/>
      <c r="G58" s="278" t="str">
        <f t="shared" si="64"/>
        <v>Kurzurl./öff. Amt</v>
      </c>
      <c r="H58" s="279" t="str">
        <f>IF(OR(H44="",H44=0),"",ROUND(H44,2)&amp;" KU")</f>
        <v/>
      </c>
      <c r="I58" s="279" t="str">
        <f t="shared" ref="I58:AL58" si="67">IF(OR(I44="",I44=0),"",ROUND(I44,2)&amp;" KU")</f>
        <v/>
      </c>
      <c r="J58" s="279" t="str">
        <f t="shared" si="67"/>
        <v/>
      </c>
      <c r="K58" s="279" t="str">
        <f t="shared" si="67"/>
        <v/>
      </c>
      <c r="L58" s="279" t="str">
        <f t="shared" si="67"/>
        <v/>
      </c>
      <c r="M58" s="279" t="str">
        <f t="shared" si="67"/>
        <v/>
      </c>
      <c r="N58" s="279" t="str">
        <f t="shared" si="67"/>
        <v/>
      </c>
      <c r="O58" s="279" t="str">
        <f t="shared" si="67"/>
        <v/>
      </c>
      <c r="P58" s="279" t="str">
        <f t="shared" si="67"/>
        <v/>
      </c>
      <c r="Q58" s="279" t="str">
        <f t="shared" si="67"/>
        <v/>
      </c>
      <c r="R58" s="279" t="str">
        <f t="shared" si="67"/>
        <v/>
      </c>
      <c r="S58" s="279" t="str">
        <f t="shared" si="67"/>
        <v/>
      </c>
      <c r="T58" s="279" t="str">
        <f t="shared" si="67"/>
        <v/>
      </c>
      <c r="U58" s="279" t="str">
        <f t="shared" si="67"/>
        <v/>
      </c>
      <c r="V58" s="279" t="str">
        <f t="shared" si="67"/>
        <v/>
      </c>
      <c r="W58" s="279" t="str">
        <f t="shared" si="67"/>
        <v/>
      </c>
      <c r="X58" s="279" t="str">
        <f t="shared" si="67"/>
        <v/>
      </c>
      <c r="Y58" s="279" t="str">
        <f t="shared" si="67"/>
        <v/>
      </c>
      <c r="Z58" s="279" t="str">
        <f t="shared" si="67"/>
        <v/>
      </c>
      <c r="AA58" s="279" t="str">
        <f t="shared" si="67"/>
        <v/>
      </c>
      <c r="AB58" s="279" t="str">
        <f t="shared" si="67"/>
        <v/>
      </c>
      <c r="AC58" s="279" t="str">
        <f t="shared" si="67"/>
        <v/>
      </c>
      <c r="AD58" s="279" t="str">
        <f t="shared" si="67"/>
        <v/>
      </c>
      <c r="AE58" s="279" t="str">
        <f t="shared" si="67"/>
        <v/>
      </c>
      <c r="AF58" s="279" t="str">
        <f t="shared" si="67"/>
        <v/>
      </c>
      <c r="AG58" s="279" t="str">
        <f t="shared" si="67"/>
        <v/>
      </c>
      <c r="AH58" s="279" t="str">
        <f t="shared" si="67"/>
        <v/>
      </c>
      <c r="AI58" s="279" t="str">
        <f t="shared" si="67"/>
        <v/>
      </c>
      <c r="AJ58" s="279" t="str">
        <f t="shared" si="67"/>
        <v/>
      </c>
      <c r="AK58" s="279" t="str">
        <f t="shared" si="67"/>
        <v/>
      </c>
      <c r="AL58" s="279" t="str">
        <f t="shared" si="67"/>
        <v/>
      </c>
      <c r="AM58" s="280" t="str">
        <f>ROUND(AM44,2)&amp;" KU"</f>
        <v>0 KU</v>
      </c>
      <c r="AN58" s="272"/>
    </row>
    <row r="59" spans="2:41" ht="12.75" hidden="1" customHeight="1" x14ac:dyDescent="0.2">
      <c r="B59" s="256"/>
      <c r="C59" s="257"/>
      <c r="D59" s="250"/>
      <c r="E59" s="250"/>
      <c r="F59" s="584"/>
      <c r="G59" s="278" t="str">
        <f t="shared" si="64"/>
        <v>Militär/CT/ZS/J&amp;S</v>
      </c>
      <c r="H59" s="279" t="str">
        <f>IF(OR(H45="",H45=0),"",ROUND(H45,2)&amp;" MI")</f>
        <v/>
      </c>
      <c r="I59" s="279" t="str">
        <f t="shared" ref="I59:AL59" si="68">IF(OR(I45="",I45=0),"",ROUND(I45,2)&amp;" MI")</f>
        <v/>
      </c>
      <c r="J59" s="279" t="str">
        <f t="shared" si="68"/>
        <v/>
      </c>
      <c r="K59" s="279" t="str">
        <f t="shared" si="68"/>
        <v/>
      </c>
      <c r="L59" s="279" t="str">
        <f t="shared" si="68"/>
        <v/>
      </c>
      <c r="M59" s="279" t="str">
        <f t="shared" si="68"/>
        <v/>
      </c>
      <c r="N59" s="279" t="str">
        <f t="shared" si="68"/>
        <v/>
      </c>
      <c r="O59" s="279" t="str">
        <f t="shared" si="68"/>
        <v/>
      </c>
      <c r="P59" s="279" t="str">
        <f t="shared" si="68"/>
        <v/>
      </c>
      <c r="Q59" s="279" t="str">
        <f t="shared" si="68"/>
        <v/>
      </c>
      <c r="R59" s="279" t="str">
        <f t="shared" si="68"/>
        <v/>
      </c>
      <c r="S59" s="279" t="str">
        <f t="shared" si="68"/>
        <v/>
      </c>
      <c r="T59" s="279" t="str">
        <f t="shared" si="68"/>
        <v/>
      </c>
      <c r="U59" s="279" t="str">
        <f t="shared" si="68"/>
        <v/>
      </c>
      <c r="V59" s="279" t="str">
        <f t="shared" si="68"/>
        <v/>
      </c>
      <c r="W59" s="279" t="str">
        <f t="shared" si="68"/>
        <v/>
      </c>
      <c r="X59" s="279" t="str">
        <f t="shared" si="68"/>
        <v/>
      </c>
      <c r="Y59" s="279" t="str">
        <f t="shared" si="68"/>
        <v/>
      </c>
      <c r="Z59" s="279" t="str">
        <f t="shared" si="68"/>
        <v/>
      </c>
      <c r="AA59" s="279" t="str">
        <f t="shared" si="68"/>
        <v/>
      </c>
      <c r="AB59" s="279" t="str">
        <f t="shared" si="68"/>
        <v/>
      </c>
      <c r="AC59" s="279" t="str">
        <f t="shared" si="68"/>
        <v/>
      </c>
      <c r="AD59" s="279" t="str">
        <f t="shared" si="68"/>
        <v/>
      </c>
      <c r="AE59" s="279" t="str">
        <f t="shared" si="68"/>
        <v/>
      </c>
      <c r="AF59" s="279" t="str">
        <f t="shared" si="68"/>
        <v/>
      </c>
      <c r="AG59" s="279" t="str">
        <f t="shared" si="68"/>
        <v/>
      </c>
      <c r="AH59" s="279" t="str">
        <f t="shared" si="68"/>
        <v/>
      </c>
      <c r="AI59" s="279" t="str">
        <f t="shared" si="68"/>
        <v/>
      </c>
      <c r="AJ59" s="279" t="str">
        <f t="shared" si="68"/>
        <v/>
      </c>
      <c r="AK59" s="279" t="str">
        <f t="shared" si="68"/>
        <v/>
      </c>
      <c r="AL59" s="279" t="str">
        <f t="shared" si="68"/>
        <v/>
      </c>
      <c r="AM59" s="280" t="str">
        <f>ROUND(AM45,2)&amp;" MI"</f>
        <v>0 MI</v>
      </c>
      <c r="AN59" s="272"/>
    </row>
    <row r="60" spans="2:41" ht="12.75" hidden="1" customHeight="1" x14ac:dyDescent="0.2">
      <c r="B60" s="256"/>
      <c r="C60" s="257"/>
      <c r="D60" s="250"/>
      <c r="E60" s="250"/>
      <c r="F60" s="584"/>
      <c r="G60" s="278" t="str">
        <f t="shared" si="64"/>
        <v>Weiterbildung</v>
      </c>
      <c r="H60" s="279" t="str">
        <f>IF(OR(H46="",H46=0),"",ROUND(H46,2)&amp;" WB")</f>
        <v/>
      </c>
      <c r="I60" s="279" t="str">
        <f t="shared" ref="I60:AL60" si="69">IF(OR(I46="",I46=0),"",ROUND(I46,2)&amp;" WB")</f>
        <v/>
      </c>
      <c r="J60" s="279" t="str">
        <f t="shared" si="69"/>
        <v/>
      </c>
      <c r="K60" s="279" t="str">
        <f t="shared" si="69"/>
        <v/>
      </c>
      <c r="L60" s="279" t="str">
        <f t="shared" si="69"/>
        <v/>
      </c>
      <c r="M60" s="279" t="str">
        <f t="shared" si="69"/>
        <v/>
      </c>
      <c r="N60" s="279" t="str">
        <f t="shared" si="69"/>
        <v/>
      </c>
      <c r="O60" s="279" t="str">
        <f t="shared" si="69"/>
        <v/>
      </c>
      <c r="P60" s="279" t="str">
        <f t="shared" si="69"/>
        <v/>
      </c>
      <c r="Q60" s="279" t="str">
        <f t="shared" si="69"/>
        <v/>
      </c>
      <c r="R60" s="279" t="str">
        <f t="shared" si="69"/>
        <v/>
      </c>
      <c r="S60" s="279" t="str">
        <f t="shared" si="69"/>
        <v/>
      </c>
      <c r="T60" s="279" t="str">
        <f t="shared" si="69"/>
        <v/>
      </c>
      <c r="U60" s="279" t="str">
        <f t="shared" si="69"/>
        <v/>
      </c>
      <c r="V60" s="279" t="str">
        <f t="shared" si="69"/>
        <v/>
      </c>
      <c r="W60" s="279" t="str">
        <f t="shared" si="69"/>
        <v/>
      </c>
      <c r="X60" s="279" t="str">
        <f t="shared" si="69"/>
        <v/>
      </c>
      <c r="Y60" s="279" t="str">
        <f t="shared" si="69"/>
        <v/>
      </c>
      <c r="Z60" s="279" t="str">
        <f t="shared" si="69"/>
        <v/>
      </c>
      <c r="AA60" s="279" t="str">
        <f t="shared" si="69"/>
        <v/>
      </c>
      <c r="AB60" s="279" t="str">
        <f t="shared" si="69"/>
        <v/>
      </c>
      <c r="AC60" s="279" t="str">
        <f t="shared" si="69"/>
        <v/>
      </c>
      <c r="AD60" s="279" t="str">
        <f t="shared" si="69"/>
        <v/>
      </c>
      <c r="AE60" s="279" t="str">
        <f t="shared" si="69"/>
        <v/>
      </c>
      <c r="AF60" s="279" t="str">
        <f t="shared" si="69"/>
        <v/>
      </c>
      <c r="AG60" s="279" t="str">
        <f t="shared" si="69"/>
        <v/>
      </c>
      <c r="AH60" s="279" t="str">
        <f t="shared" si="69"/>
        <v/>
      </c>
      <c r="AI60" s="279" t="str">
        <f t="shared" si="69"/>
        <v/>
      </c>
      <c r="AJ60" s="279" t="str">
        <f t="shared" si="69"/>
        <v/>
      </c>
      <c r="AK60" s="279" t="str">
        <f t="shared" si="69"/>
        <v/>
      </c>
      <c r="AL60" s="279" t="str">
        <f t="shared" si="69"/>
        <v/>
      </c>
      <c r="AM60" s="280" t="str">
        <f>ROUND(AM46,2)&amp;" WB"</f>
        <v>0 WB</v>
      </c>
      <c r="AN60" s="272"/>
    </row>
    <row r="61" spans="2:41" ht="12.75" hidden="1" customHeight="1" x14ac:dyDescent="0.2">
      <c r="B61" s="256"/>
      <c r="C61" s="257"/>
      <c r="D61" s="250"/>
      <c r="E61" s="250"/>
      <c r="F61" s="584"/>
      <c r="G61" s="278" t="str">
        <f t="shared" si="64"/>
        <v>Studienurlaub</v>
      </c>
      <c r="H61" s="279" t="str">
        <f>IF(OR(H47="",H47=0),"",ROUND(H47,2)&amp;" WB")</f>
        <v/>
      </c>
      <c r="I61" s="279" t="str">
        <f t="shared" ref="I61:AL61" si="70">IF(OR(I47="",I47=0),"",ROUND(I47,2)&amp;" WB")</f>
        <v/>
      </c>
      <c r="J61" s="279" t="str">
        <f t="shared" si="70"/>
        <v/>
      </c>
      <c r="K61" s="279" t="str">
        <f t="shared" si="70"/>
        <v/>
      </c>
      <c r="L61" s="279" t="str">
        <f t="shared" si="70"/>
        <v/>
      </c>
      <c r="M61" s="279" t="str">
        <f t="shared" si="70"/>
        <v/>
      </c>
      <c r="N61" s="279" t="str">
        <f t="shared" si="70"/>
        <v/>
      </c>
      <c r="O61" s="279" t="str">
        <f t="shared" si="70"/>
        <v/>
      </c>
      <c r="P61" s="279" t="str">
        <f t="shared" si="70"/>
        <v/>
      </c>
      <c r="Q61" s="279" t="str">
        <f t="shared" si="70"/>
        <v/>
      </c>
      <c r="R61" s="279" t="str">
        <f t="shared" si="70"/>
        <v/>
      </c>
      <c r="S61" s="279" t="str">
        <f t="shared" si="70"/>
        <v/>
      </c>
      <c r="T61" s="279" t="str">
        <f t="shared" si="70"/>
        <v/>
      </c>
      <c r="U61" s="279" t="str">
        <f t="shared" si="70"/>
        <v/>
      </c>
      <c r="V61" s="279" t="str">
        <f t="shared" si="70"/>
        <v/>
      </c>
      <c r="W61" s="279" t="str">
        <f t="shared" si="70"/>
        <v/>
      </c>
      <c r="X61" s="279" t="str">
        <f t="shared" si="70"/>
        <v/>
      </c>
      <c r="Y61" s="279" t="str">
        <f t="shared" si="70"/>
        <v/>
      </c>
      <c r="Z61" s="279" t="str">
        <f t="shared" si="70"/>
        <v/>
      </c>
      <c r="AA61" s="279" t="str">
        <f t="shared" si="70"/>
        <v/>
      </c>
      <c r="AB61" s="279" t="str">
        <f t="shared" si="70"/>
        <v/>
      </c>
      <c r="AC61" s="279" t="str">
        <f t="shared" si="70"/>
        <v/>
      </c>
      <c r="AD61" s="279" t="str">
        <f t="shared" si="70"/>
        <v/>
      </c>
      <c r="AE61" s="279" t="str">
        <f t="shared" si="70"/>
        <v/>
      </c>
      <c r="AF61" s="279" t="str">
        <f t="shared" si="70"/>
        <v/>
      </c>
      <c r="AG61" s="279" t="str">
        <f t="shared" si="70"/>
        <v/>
      </c>
      <c r="AH61" s="279" t="str">
        <f t="shared" si="70"/>
        <v/>
      </c>
      <c r="AI61" s="279" t="str">
        <f t="shared" si="70"/>
        <v/>
      </c>
      <c r="AJ61" s="279" t="str">
        <f t="shared" si="70"/>
        <v/>
      </c>
      <c r="AK61" s="279" t="str">
        <f t="shared" si="70"/>
        <v/>
      </c>
      <c r="AL61" s="279" t="str">
        <f t="shared" si="70"/>
        <v/>
      </c>
      <c r="AM61" s="280" t="str">
        <f>ROUND(AM47,2)&amp;" STU"</f>
        <v>0 STU</v>
      </c>
      <c r="AN61" s="272"/>
    </row>
    <row r="62" spans="2:41" ht="12.75" hidden="1" customHeight="1" x14ac:dyDescent="0.2">
      <c r="B62" s="256"/>
      <c r="C62" s="257"/>
      <c r="D62" s="250"/>
      <c r="E62" s="250"/>
      <c r="F62" s="584"/>
      <c r="G62" s="278" t="str">
        <f t="shared" si="64"/>
        <v>Mu-/Vat.</v>
      </c>
      <c r="H62" s="279" t="str">
        <f>IF(OR(H48="",H48=0),"",ROUND(H48,2)&amp;" MU")</f>
        <v/>
      </c>
      <c r="I62" s="279" t="str">
        <f t="shared" ref="I62:AL62" si="71">IF(OR(I48="",I48=0),"",ROUND(I48,2)&amp;" MU")</f>
        <v/>
      </c>
      <c r="J62" s="279" t="str">
        <f t="shared" si="71"/>
        <v/>
      </c>
      <c r="K62" s="279" t="str">
        <f t="shared" si="71"/>
        <v/>
      </c>
      <c r="L62" s="279" t="str">
        <f t="shared" si="71"/>
        <v/>
      </c>
      <c r="M62" s="279" t="str">
        <f t="shared" si="71"/>
        <v/>
      </c>
      <c r="N62" s="279" t="str">
        <f t="shared" si="71"/>
        <v/>
      </c>
      <c r="O62" s="279" t="str">
        <f t="shared" si="71"/>
        <v/>
      </c>
      <c r="P62" s="279" t="str">
        <f t="shared" si="71"/>
        <v/>
      </c>
      <c r="Q62" s="279" t="str">
        <f t="shared" si="71"/>
        <v/>
      </c>
      <c r="R62" s="279" t="str">
        <f t="shared" si="71"/>
        <v/>
      </c>
      <c r="S62" s="279" t="str">
        <f t="shared" si="71"/>
        <v/>
      </c>
      <c r="T62" s="279" t="str">
        <f t="shared" si="71"/>
        <v/>
      </c>
      <c r="U62" s="279" t="str">
        <f t="shared" si="71"/>
        <v/>
      </c>
      <c r="V62" s="279" t="str">
        <f t="shared" si="71"/>
        <v/>
      </c>
      <c r="W62" s="279" t="str">
        <f t="shared" si="71"/>
        <v/>
      </c>
      <c r="X62" s="279" t="str">
        <f t="shared" si="71"/>
        <v/>
      </c>
      <c r="Y62" s="279" t="str">
        <f t="shared" si="71"/>
        <v/>
      </c>
      <c r="Z62" s="279" t="str">
        <f t="shared" si="71"/>
        <v/>
      </c>
      <c r="AA62" s="279" t="str">
        <f t="shared" si="71"/>
        <v/>
      </c>
      <c r="AB62" s="279" t="str">
        <f t="shared" si="71"/>
        <v/>
      </c>
      <c r="AC62" s="279" t="str">
        <f t="shared" si="71"/>
        <v/>
      </c>
      <c r="AD62" s="279" t="str">
        <f t="shared" si="71"/>
        <v/>
      </c>
      <c r="AE62" s="279" t="str">
        <f t="shared" si="71"/>
        <v/>
      </c>
      <c r="AF62" s="279" t="str">
        <f t="shared" si="71"/>
        <v/>
      </c>
      <c r="AG62" s="279" t="str">
        <f t="shared" si="71"/>
        <v/>
      </c>
      <c r="AH62" s="279" t="str">
        <f t="shared" si="71"/>
        <v/>
      </c>
      <c r="AI62" s="279" t="str">
        <f t="shared" si="71"/>
        <v/>
      </c>
      <c r="AJ62" s="279" t="str">
        <f t="shared" si="71"/>
        <v/>
      </c>
      <c r="AK62" s="279" t="str">
        <f t="shared" si="71"/>
        <v/>
      </c>
      <c r="AL62" s="279" t="str">
        <f t="shared" si="71"/>
        <v/>
      </c>
      <c r="AM62" s="280" t="str">
        <f>ROUND(AM48,2)&amp;" MU"</f>
        <v>0 MU</v>
      </c>
      <c r="AN62" s="272"/>
    </row>
    <row r="63" spans="2:41" ht="12.75" hidden="1" customHeight="1" x14ac:dyDescent="0.2">
      <c r="B63" s="256"/>
      <c r="C63" s="257"/>
      <c r="D63" s="250"/>
      <c r="E63" s="250"/>
      <c r="F63" s="584"/>
      <c r="G63" s="278" t="str">
        <f t="shared" si="64"/>
        <v>Treueprämie</v>
      </c>
      <c r="H63" s="279" t="str">
        <f>IF(OR(H49="",H49=0),"",ROUND(H49,2)&amp;" TRP")</f>
        <v/>
      </c>
      <c r="I63" s="279" t="str">
        <f t="shared" ref="I63:AL63" si="72">IF(OR(I49="",I49=0),"",ROUND(I49,2)&amp;" TRP")</f>
        <v/>
      </c>
      <c r="J63" s="279" t="str">
        <f t="shared" si="72"/>
        <v/>
      </c>
      <c r="K63" s="279" t="str">
        <f t="shared" si="72"/>
        <v/>
      </c>
      <c r="L63" s="279" t="str">
        <f t="shared" si="72"/>
        <v/>
      </c>
      <c r="M63" s="279" t="str">
        <f t="shared" si="72"/>
        <v/>
      </c>
      <c r="N63" s="279" t="str">
        <f t="shared" si="72"/>
        <v/>
      </c>
      <c r="O63" s="279" t="str">
        <f t="shared" si="72"/>
        <v/>
      </c>
      <c r="P63" s="279" t="str">
        <f t="shared" si="72"/>
        <v/>
      </c>
      <c r="Q63" s="279" t="str">
        <f t="shared" si="72"/>
        <v/>
      </c>
      <c r="R63" s="279" t="str">
        <f t="shared" si="72"/>
        <v/>
      </c>
      <c r="S63" s="279" t="str">
        <f t="shared" si="72"/>
        <v/>
      </c>
      <c r="T63" s="279" t="str">
        <f t="shared" si="72"/>
        <v/>
      </c>
      <c r="U63" s="279" t="str">
        <f t="shared" si="72"/>
        <v/>
      </c>
      <c r="V63" s="279" t="str">
        <f t="shared" si="72"/>
        <v/>
      </c>
      <c r="W63" s="279" t="str">
        <f t="shared" si="72"/>
        <v/>
      </c>
      <c r="X63" s="279" t="str">
        <f t="shared" si="72"/>
        <v/>
      </c>
      <c r="Y63" s="279" t="str">
        <f t="shared" si="72"/>
        <v/>
      </c>
      <c r="Z63" s="279" t="str">
        <f t="shared" si="72"/>
        <v/>
      </c>
      <c r="AA63" s="279" t="str">
        <f t="shared" si="72"/>
        <v/>
      </c>
      <c r="AB63" s="279" t="str">
        <f t="shared" si="72"/>
        <v/>
      </c>
      <c r="AC63" s="279" t="str">
        <f t="shared" si="72"/>
        <v/>
      </c>
      <c r="AD63" s="279" t="str">
        <f t="shared" si="72"/>
        <v/>
      </c>
      <c r="AE63" s="279" t="str">
        <f t="shared" si="72"/>
        <v/>
      </c>
      <c r="AF63" s="279" t="str">
        <f t="shared" si="72"/>
        <v/>
      </c>
      <c r="AG63" s="279" t="str">
        <f t="shared" si="72"/>
        <v/>
      </c>
      <c r="AH63" s="279" t="str">
        <f t="shared" si="72"/>
        <v/>
      </c>
      <c r="AI63" s="279" t="str">
        <f t="shared" si="72"/>
        <v/>
      </c>
      <c r="AJ63" s="279" t="str">
        <f t="shared" si="72"/>
        <v/>
      </c>
      <c r="AK63" s="279" t="str">
        <f t="shared" si="72"/>
        <v/>
      </c>
      <c r="AL63" s="279" t="str">
        <f t="shared" si="72"/>
        <v/>
      </c>
      <c r="AM63" s="280" t="str">
        <f>ROUND(AM49,2)&amp;" TRP"</f>
        <v>0 TRP</v>
      </c>
      <c r="AN63" s="272"/>
    </row>
    <row r="64" spans="2:41" ht="12.75" hidden="1" customHeight="1" x14ac:dyDescent="0.2">
      <c r="B64" s="256"/>
      <c r="C64" s="257"/>
      <c r="D64" s="250"/>
      <c r="E64" s="250"/>
      <c r="F64" s="584"/>
      <c r="G64" s="278" t="str">
        <f t="shared" si="64"/>
        <v>Langzeitkonto</v>
      </c>
      <c r="H64" s="279" t="str">
        <f>IF(OR(H50="",H50=0),"",ROUND(H50,2)&amp;" LZK")</f>
        <v/>
      </c>
      <c r="I64" s="279" t="str">
        <f t="shared" ref="I64:AL64" si="73">IF(OR(I50="",I50=0),"",ROUND(I50,2)&amp;" LZK")</f>
        <v/>
      </c>
      <c r="J64" s="279" t="str">
        <f t="shared" si="73"/>
        <v/>
      </c>
      <c r="K64" s="279" t="str">
        <f t="shared" si="73"/>
        <v/>
      </c>
      <c r="L64" s="279" t="str">
        <f t="shared" si="73"/>
        <v/>
      </c>
      <c r="M64" s="279" t="str">
        <f t="shared" si="73"/>
        <v/>
      </c>
      <c r="N64" s="279" t="str">
        <f t="shared" si="73"/>
        <v/>
      </c>
      <c r="O64" s="279" t="str">
        <f t="shared" si="73"/>
        <v/>
      </c>
      <c r="P64" s="279" t="str">
        <f t="shared" si="73"/>
        <v/>
      </c>
      <c r="Q64" s="279" t="str">
        <f t="shared" si="73"/>
        <v/>
      </c>
      <c r="R64" s="279" t="str">
        <f t="shared" si="73"/>
        <v/>
      </c>
      <c r="S64" s="279" t="str">
        <f t="shared" si="73"/>
        <v/>
      </c>
      <c r="T64" s="279" t="str">
        <f t="shared" si="73"/>
        <v/>
      </c>
      <c r="U64" s="279" t="str">
        <f t="shared" si="73"/>
        <v/>
      </c>
      <c r="V64" s="279" t="str">
        <f t="shared" si="73"/>
        <v/>
      </c>
      <c r="W64" s="279" t="str">
        <f t="shared" si="73"/>
        <v/>
      </c>
      <c r="X64" s="279" t="str">
        <f t="shared" si="73"/>
        <v/>
      </c>
      <c r="Y64" s="279" t="str">
        <f t="shared" si="73"/>
        <v/>
      </c>
      <c r="Z64" s="279" t="str">
        <f t="shared" si="73"/>
        <v/>
      </c>
      <c r="AA64" s="279" t="str">
        <f t="shared" si="73"/>
        <v/>
      </c>
      <c r="AB64" s="279" t="str">
        <f t="shared" si="73"/>
        <v/>
      </c>
      <c r="AC64" s="279" t="str">
        <f t="shared" si="73"/>
        <v/>
      </c>
      <c r="AD64" s="279" t="str">
        <f t="shared" si="73"/>
        <v/>
      </c>
      <c r="AE64" s="279" t="str">
        <f t="shared" si="73"/>
        <v/>
      </c>
      <c r="AF64" s="279" t="str">
        <f t="shared" si="73"/>
        <v/>
      </c>
      <c r="AG64" s="279" t="str">
        <f t="shared" si="73"/>
        <v/>
      </c>
      <c r="AH64" s="279" t="str">
        <f t="shared" si="73"/>
        <v/>
      </c>
      <c r="AI64" s="279" t="str">
        <f t="shared" si="73"/>
        <v/>
      </c>
      <c r="AJ64" s="279" t="str">
        <f t="shared" si="73"/>
        <v/>
      </c>
      <c r="AK64" s="279" t="str">
        <f t="shared" si="73"/>
        <v/>
      </c>
      <c r="AL64" s="279" t="str">
        <f t="shared" si="7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
      </c>
      <c r="I66" s="279" t="str">
        <f t="shared" ref="I66:AL66" si="74">IF(OR(I53="",I53=0),"",ROUND(I53,2)&amp;" TZ/FR")</f>
        <v/>
      </c>
      <c r="J66" s="279" t="str">
        <f t="shared" si="74"/>
        <v>8,4 TZ/FR</v>
      </c>
      <c r="K66" s="279" t="str">
        <f t="shared" si="74"/>
        <v>8,4 TZ/FR</v>
      </c>
      <c r="L66" s="279" t="str">
        <f t="shared" si="74"/>
        <v/>
      </c>
      <c r="M66" s="279" t="str">
        <f t="shared" si="74"/>
        <v>8,4 TZ/FR</v>
      </c>
      <c r="N66" s="279" t="str">
        <f t="shared" si="74"/>
        <v>8,4 TZ/FR</v>
      </c>
      <c r="O66" s="279" t="str">
        <f t="shared" si="74"/>
        <v>8,4 TZ/FR</v>
      </c>
      <c r="P66" s="279" t="str">
        <f t="shared" si="74"/>
        <v>8,4 TZ/FR</v>
      </c>
      <c r="Q66" s="279" t="str">
        <f t="shared" si="74"/>
        <v>8,4 TZ/FR</v>
      </c>
      <c r="R66" s="279" t="str">
        <f t="shared" si="74"/>
        <v>8,4 TZ/FR</v>
      </c>
      <c r="S66" s="279" t="str">
        <f t="shared" si="74"/>
        <v/>
      </c>
      <c r="T66" s="279" t="str">
        <f t="shared" si="74"/>
        <v>8,4 TZ/FR</v>
      </c>
      <c r="U66" s="279" t="str">
        <f t="shared" si="74"/>
        <v>8,4 TZ/FR</v>
      </c>
      <c r="V66" s="279" t="str">
        <f t="shared" si="74"/>
        <v>8,4 TZ/FR</v>
      </c>
      <c r="W66" s="279" t="str">
        <f t="shared" si="74"/>
        <v>8,4 TZ/FR</v>
      </c>
      <c r="X66" s="279" t="str">
        <f t="shared" si="74"/>
        <v>8,4 TZ/FR</v>
      </c>
      <c r="Y66" s="279" t="str">
        <f t="shared" si="74"/>
        <v>8,4 TZ/FR</v>
      </c>
      <c r="Z66" s="279" t="str">
        <f t="shared" si="74"/>
        <v/>
      </c>
      <c r="AA66" s="279" t="str">
        <f t="shared" si="74"/>
        <v>8,4 TZ/FR</v>
      </c>
      <c r="AB66" s="279" t="str">
        <f t="shared" si="74"/>
        <v>8,4 TZ/FR</v>
      </c>
      <c r="AC66" s="279" t="str">
        <f t="shared" si="74"/>
        <v>8,4 TZ/FR</v>
      </c>
      <c r="AD66" s="279" t="str">
        <f t="shared" si="74"/>
        <v>8,4 TZ/FR</v>
      </c>
      <c r="AE66" s="279" t="str">
        <f t="shared" si="74"/>
        <v>8,4 TZ/FR</v>
      </c>
      <c r="AF66" s="279" t="str">
        <f t="shared" si="74"/>
        <v>8,4 TZ/FR</v>
      </c>
      <c r="AG66" s="279" t="str">
        <f t="shared" si="74"/>
        <v/>
      </c>
      <c r="AH66" s="279" t="str">
        <f t="shared" si="74"/>
        <v>8,4 TZ/FR</v>
      </c>
      <c r="AI66" s="279" t="str">
        <f t="shared" si="74"/>
        <v>8,4 TZ/FR</v>
      </c>
      <c r="AJ66" s="279" t="str">
        <f t="shared" si="74"/>
        <v>8,4 TZ/FR</v>
      </c>
      <c r="AK66" s="279" t="str">
        <f t="shared" si="74"/>
        <v>8,4 TZ/FR</v>
      </c>
      <c r="AL66" s="279" t="str">
        <f t="shared" si="74"/>
        <v>8,4 TZ/FR</v>
      </c>
      <c r="AM66" s="280" t="str">
        <f>ROUND(AM52,2)&amp;" TZ/FR"</f>
        <v>176,4 TZ/FR</v>
      </c>
      <c r="AN66" s="272"/>
    </row>
    <row r="67" spans="2:40" ht="12.75" hidden="1" customHeight="1" x14ac:dyDescent="0.2">
      <c r="B67" s="256"/>
      <c r="C67" s="257"/>
      <c r="D67" s="250"/>
      <c r="E67" s="250"/>
      <c r="F67" s="584"/>
      <c r="G67" s="278" t="str">
        <f>G54</f>
        <v>Anspr. Komp.</v>
      </c>
      <c r="H67" s="279" t="str">
        <f>IF(OR(H54="",H54=0),"",ROUND(H54,2)&amp;" KOMP")</f>
        <v/>
      </c>
      <c r="I67" s="279" t="str">
        <f t="shared" ref="I67:AL67" si="75">IF(OR(I54="",I54=0),"",ROUND(I54,2)&amp;" KOMP")</f>
        <v/>
      </c>
      <c r="J67" s="279" t="str">
        <f t="shared" si="75"/>
        <v/>
      </c>
      <c r="K67" s="279" t="str">
        <f t="shared" si="75"/>
        <v/>
      </c>
      <c r="L67" s="279" t="str">
        <f t="shared" si="75"/>
        <v/>
      </c>
      <c r="M67" s="279" t="str">
        <f t="shared" si="75"/>
        <v/>
      </c>
      <c r="N67" s="279" t="str">
        <f t="shared" si="75"/>
        <v/>
      </c>
      <c r="O67" s="279" t="str">
        <f t="shared" si="75"/>
        <v/>
      </c>
      <c r="P67" s="279" t="str">
        <f t="shared" si="75"/>
        <v/>
      </c>
      <c r="Q67" s="279" t="str">
        <f t="shared" si="75"/>
        <v/>
      </c>
      <c r="R67" s="279" t="str">
        <f t="shared" si="75"/>
        <v/>
      </c>
      <c r="S67" s="279" t="str">
        <f t="shared" si="75"/>
        <v/>
      </c>
      <c r="T67" s="279" t="str">
        <f t="shared" si="75"/>
        <v/>
      </c>
      <c r="U67" s="279" t="str">
        <f t="shared" si="75"/>
        <v/>
      </c>
      <c r="V67" s="279" t="str">
        <f t="shared" si="75"/>
        <v/>
      </c>
      <c r="W67" s="279" t="str">
        <f t="shared" si="75"/>
        <v/>
      </c>
      <c r="X67" s="279" t="str">
        <f t="shared" si="75"/>
        <v/>
      </c>
      <c r="Y67" s="279" t="str">
        <f t="shared" si="75"/>
        <v/>
      </c>
      <c r="Z67" s="279" t="str">
        <f t="shared" si="75"/>
        <v/>
      </c>
      <c r="AA67" s="279" t="str">
        <f t="shared" si="75"/>
        <v/>
      </c>
      <c r="AB67" s="279" t="str">
        <f t="shared" si="75"/>
        <v/>
      </c>
      <c r="AC67" s="279" t="str">
        <f t="shared" si="75"/>
        <v/>
      </c>
      <c r="AD67" s="279" t="str">
        <f t="shared" si="75"/>
        <v/>
      </c>
      <c r="AE67" s="279" t="str">
        <f t="shared" si="75"/>
        <v/>
      </c>
      <c r="AF67" s="279" t="str">
        <f t="shared" si="75"/>
        <v/>
      </c>
      <c r="AG67" s="279" t="str">
        <f t="shared" si="75"/>
        <v/>
      </c>
      <c r="AH67" s="279" t="str">
        <f t="shared" si="75"/>
        <v/>
      </c>
      <c r="AI67" s="279" t="str">
        <f t="shared" si="75"/>
        <v/>
      </c>
      <c r="AJ67" s="279" t="str">
        <f t="shared" si="75"/>
        <v/>
      </c>
      <c r="AK67" s="279" t="str">
        <f t="shared" si="75"/>
        <v/>
      </c>
      <c r="AL67" s="279" t="str">
        <f t="shared" si="75"/>
        <v/>
      </c>
      <c r="AM67" s="280"/>
      <c r="AN67" s="272"/>
    </row>
    <row r="68" spans="2:40" ht="12.75" hidden="1" customHeight="1" x14ac:dyDescent="0.2">
      <c r="B68" s="256"/>
      <c r="C68" s="257"/>
      <c r="D68" s="250"/>
      <c r="E68" s="250"/>
      <c r="F68" s="584"/>
      <c r="G68" s="278" t="str">
        <f>G55</f>
        <v>Nicht gearbeitet</v>
      </c>
      <c r="H68" s="279" t="str">
        <f>IF(OR(H55="",H55=0),"","FREI")</f>
        <v/>
      </c>
      <c r="I68" s="279" t="str">
        <f t="shared" ref="I68:AL68" si="76">IF(OR(I55="",I55=0),"","FREI")</f>
        <v/>
      </c>
      <c r="J68" s="279" t="str">
        <f t="shared" si="76"/>
        <v>FREI</v>
      </c>
      <c r="K68" s="279" t="str">
        <f t="shared" si="76"/>
        <v/>
      </c>
      <c r="L68" s="279" t="str">
        <f t="shared" si="76"/>
        <v/>
      </c>
      <c r="M68" s="279" t="str">
        <f t="shared" si="76"/>
        <v>FREI</v>
      </c>
      <c r="N68" s="279" t="str">
        <f t="shared" si="76"/>
        <v>FREI</v>
      </c>
      <c r="O68" s="279" t="str">
        <f t="shared" si="76"/>
        <v>FREI</v>
      </c>
      <c r="P68" s="279" t="str">
        <f t="shared" si="76"/>
        <v>FREI</v>
      </c>
      <c r="Q68" s="279" t="str">
        <f t="shared" si="76"/>
        <v>FREI</v>
      </c>
      <c r="R68" s="279" t="str">
        <f t="shared" si="76"/>
        <v/>
      </c>
      <c r="S68" s="279" t="str">
        <f t="shared" si="76"/>
        <v/>
      </c>
      <c r="T68" s="279" t="str">
        <f t="shared" si="76"/>
        <v>FREI</v>
      </c>
      <c r="U68" s="279" t="str">
        <f t="shared" si="76"/>
        <v>FREI</v>
      </c>
      <c r="V68" s="279" t="str">
        <f t="shared" si="76"/>
        <v>FREI</v>
      </c>
      <c r="W68" s="279" t="str">
        <f t="shared" si="76"/>
        <v>FREI</v>
      </c>
      <c r="X68" s="279" t="str">
        <f t="shared" si="76"/>
        <v>FREI</v>
      </c>
      <c r="Y68" s="279" t="str">
        <f t="shared" si="76"/>
        <v/>
      </c>
      <c r="Z68" s="279" t="str">
        <f t="shared" si="76"/>
        <v/>
      </c>
      <c r="AA68" s="279" t="str">
        <f t="shared" si="76"/>
        <v>FREI</v>
      </c>
      <c r="AB68" s="279" t="str">
        <f t="shared" si="76"/>
        <v>FREI</v>
      </c>
      <c r="AC68" s="279" t="str">
        <f t="shared" si="76"/>
        <v>FREI</v>
      </c>
      <c r="AD68" s="279" t="str">
        <f t="shared" si="76"/>
        <v>FREI</v>
      </c>
      <c r="AE68" s="279" t="str">
        <f t="shared" si="76"/>
        <v>FREI</v>
      </c>
      <c r="AF68" s="279" t="str">
        <f t="shared" si="76"/>
        <v/>
      </c>
      <c r="AG68" s="279" t="str">
        <f t="shared" si="76"/>
        <v/>
      </c>
      <c r="AH68" s="279" t="str">
        <f t="shared" si="76"/>
        <v>FREI</v>
      </c>
      <c r="AI68" s="279" t="str">
        <f t="shared" si="76"/>
        <v>FREI</v>
      </c>
      <c r="AJ68" s="279" t="str">
        <f t="shared" si="76"/>
        <v>FREI</v>
      </c>
      <c r="AK68" s="279" t="str">
        <f t="shared" si="76"/>
        <v>FREI</v>
      </c>
      <c r="AL68" s="279" t="str">
        <f t="shared" si="76"/>
        <v>FREI</v>
      </c>
      <c r="AM68" s="280"/>
      <c r="AN68" s="272"/>
    </row>
    <row r="69" spans="2:40" ht="12.75" hidden="1" customHeight="1" x14ac:dyDescent="0.2">
      <c r="B69" s="256"/>
      <c r="C69" s="257"/>
      <c r="D69" s="250"/>
      <c r="E69" s="250"/>
      <c r="F69" s="281"/>
      <c r="G69" s="282" t="s">
        <v>132</v>
      </c>
      <c r="H69" s="283" t="str">
        <f t="shared" ref="H69:AL69" si="77">_xlfn.TEXTJOIN(";",TRUE,H56,H57,H58,H59,H60,H61,H62,H63,H64,H68)</f>
        <v/>
      </c>
      <c r="I69" s="283" t="str">
        <f>_xlfn.TEXTJOIN(";",TRUE,I56,I57,I58,I59,I60,I61,I62,I63,I64,I68)</f>
        <v/>
      </c>
      <c r="J69" s="283" t="str">
        <f t="shared" si="77"/>
        <v>FREI</v>
      </c>
      <c r="K69" s="283" t="str">
        <f t="shared" si="77"/>
        <v/>
      </c>
      <c r="L69" s="283" t="str">
        <f>_xlfn.TEXTJOIN(";",TRUE,L56,L57,L58,L59,L60,L61,L62,L63,L64,L68)</f>
        <v/>
      </c>
      <c r="M69" s="283" t="str">
        <f t="shared" si="77"/>
        <v>FREI</v>
      </c>
      <c r="N69" s="283" t="str">
        <f t="shared" si="77"/>
        <v>FREI</v>
      </c>
      <c r="O69" s="283" t="str">
        <f t="shared" si="77"/>
        <v>FREI</v>
      </c>
      <c r="P69" s="283" t="str">
        <f t="shared" si="77"/>
        <v>FREI</v>
      </c>
      <c r="Q69" s="283" t="str">
        <f t="shared" si="77"/>
        <v>FREI</v>
      </c>
      <c r="R69" s="283" t="str">
        <f t="shared" si="77"/>
        <v/>
      </c>
      <c r="S69" s="283" t="str">
        <f t="shared" si="77"/>
        <v/>
      </c>
      <c r="T69" s="283" t="str">
        <f t="shared" si="77"/>
        <v>FREI</v>
      </c>
      <c r="U69" s="283" t="str">
        <f t="shared" si="77"/>
        <v>FREI</v>
      </c>
      <c r="V69" s="283" t="str">
        <f t="shared" si="77"/>
        <v>FREI</v>
      </c>
      <c r="W69" s="283" t="str">
        <f t="shared" si="77"/>
        <v>FREI</v>
      </c>
      <c r="X69" s="283" t="str">
        <f t="shared" si="77"/>
        <v>FREI</v>
      </c>
      <c r="Y69" s="283" t="str">
        <f t="shared" si="77"/>
        <v/>
      </c>
      <c r="Z69" s="283" t="str">
        <f t="shared" si="77"/>
        <v/>
      </c>
      <c r="AA69" s="283" t="str">
        <f t="shared" si="77"/>
        <v>FREI</v>
      </c>
      <c r="AB69" s="283" t="str">
        <f t="shared" si="77"/>
        <v>FREI</v>
      </c>
      <c r="AC69" s="283" t="str">
        <f t="shared" si="77"/>
        <v>FREI</v>
      </c>
      <c r="AD69" s="283" t="str">
        <f t="shared" si="77"/>
        <v>FREI</v>
      </c>
      <c r="AE69" s="283" t="str">
        <f t="shared" si="77"/>
        <v>FREI</v>
      </c>
      <c r="AF69" s="283" t="str">
        <f t="shared" si="77"/>
        <v/>
      </c>
      <c r="AG69" s="283" t="str">
        <f t="shared" si="77"/>
        <v/>
      </c>
      <c r="AH69" s="283" t="str">
        <f t="shared" si="77"/>
        <v>FREI</v>
      </c>
      <c r="AI69" s="283" t="str">
        <f t="shared" si="77"/>
        <v>FREI</v>
      </c>
      <c r="AJ69" s="283" t="str">
        <f t="shared" si="77"/>
        <v>FREI</v>
      </c>
      <c r="AK69" s="283" t="str">
        <f t="shared" si="77"/>
        <v>FREI</v>
      </c>
      <c r="AL69" s="283" t="str">
        <f t="shared" si="77"/>
        <v>FREI</v>
      </c>
      <c r="AM69" s="280"/>
      <c r="AN69" s="272"/>
    </row>
    <row r="70" spans="2:40" ht="12.75" hidden="1" customHeight="1" x14ac:dyDescent="0.2">
      <c r="B70" s="256"/>
      <c r="C70" s="257"/>
      <c r="D70" s="250"/>
      <c r="E70" s="250"/>
      <c r="F70" s="281"/>
      <c r="G70" s="278" t="s">
        <v>158</v>
      </c>
      <c r="H70" s="284" cm="1">
        <f t="array" ref="H70">IF(ISERROR(_xlfn.TEXTSPLIT(H69,,";",TRUE)),0,_xlfn.TEXTSPLIT(H69,,";",TRUE))</f>
        <v>0</v>
      </c>
      <c r="I70" s="284" cm="1">
        <f t="array" ref="I70">IF(ISERROR(_xlfn.TEXTSPLIT(I69,,";",TRUE)),0,_xlfn.TEXTSPLIT(I69,,";",TRUE))</f>
        <v>0</v>
      </c>
      <c r="J70" s="284" t="str" cm="1">
        <f t="array" ref="J70">IF(ISERROR(_xlfn.TEXTSPLIT(J69,,";",TRUE)),0,_xlfn.TEXTSPLIT(J69,,";",TRUE))</f>
        <v>FREI</v>
      </c>
      <c r="K70" s="284" cm="1">
        <f t="array" ref="K70">IF(ISERROR(_xlfn.TEXTSPLIT(K69,,";",TRUE)),0,_xlfn.TEXTSPLIT(K69,,";",TRUE))</f>
        <v>0</v>
      </c>
      <c r="L70" s="284" cm="1">
        <f t="array" ref="L70">IF(ISERROR(_xlfn.TEXTSPLIT(L69,,";",TRUE)),0,_xlfn.TEXTSPLIT(L69,,";",TRUE))</f>
        <v>0</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cm="1">
        <f t="array" ref="R70">IF(ISERROR(_xlfn.TEXTSPLIT(R69,,";",TRUE)),0,_xlfn.TEXTSPLIT(R69,,";",TRUE))</f>
        <v>0</v>
      </c>
      <c r="S70" s="284" cm="1">
        <f t="array" ref="S70">IF(ISERROR(_xlfn.TEXTSPLIT(S69,,";",TRUE)),0,_xlfn.TEXTSPLIT(S69,,";",TRUE))</f>
        <v>0</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cm="1">
        <f t="array" ref="Y70">IF(ISERROR(_xlfn.TEXTSPLIT(Y69,,";",TRUE)),0,_xlfn.TEXTSPLIT(Y69,,";",TRUE))</f>
        <v>0</v>
      </c>
      <c r="Z70" s="284" cm="1">
        <f t="array" ref="Z70">IF(ISERROR(_xlfn.TEXTSPLIT(Z69,,";",TRUE)),0,_xlfn.TEXTSPLIT(Z69,,";",TRUE))</f>
        <v>0</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cm="1">
        <f t="array" ref="AF70">IF(ISERROR(_xlfn.TEXTSPLIT(AF69,,";",TRUE)),0,_xlfn.TEXTSPLIT(AF69,,";",TRUE))</f>
        <v>0</v>
      </c>
      <c r="AG70" s="284" cm="1">
        <f t="array" ref="AG70">IF(ISERROR(_xlfn.TEXTSPLIT(AG69,,";",TRUE)),0,_xlfn.TEXTSPLIT(AG69,,";",TRUE))</f>
        <v>0</v>
      </c>
      <c r="AH70" s="284" t="str" cm="1">
        <f t="array" ref="AH70">IF(ISERROR(_xlfn.TEXTSPLIT(AH69,,";",TRUE)),0,_xlfn.TEXTSPLIT(AH69,,";",TRUE))</f>
        <v>FREI</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t="str" cm="1">
        <f t="array" ref="AL70">IF(ISERROR(_xlfn.TEXTSPLIT(AL69,,";",TRUE)),0,_xlfn.TEXTSPLIT(AL69,,";",TRUE))</f>
        <v>FREI</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78">IF(OR(I54="",I54=0),"","!")</f>
        <v/>
      </c>
      <c r="J72" s="284" t="str">
        <f t="shared" si="78"/>
        <v/>
      </c>
      <c r="K72" s="284" t="str">
        <f t="shared" si="78"/>
        <v/>
      </c>
      <c r="L72" s="284" t="str">
        <f t="shared" si="78"/>
        <v/>
      </c>
      <c r="M72" s="284" t="str">
        <f t="shared" si="78"/>
        <v/>
      </c>
      <c r="N72" s="284" t="str">
        <f t="shared" si="78"/>
        <v/>
      </c>
      <c r="O72" s="284" t="str">
        <f t="shared" si="78"/>
        <v/>
      </c>
      <c r="P72" s="284" t="str">
        <f t="shared" si="78"/>
        <v/>
      </c>
      <c r="Q72" s="284" t="str">
        <f t="shared" si="78"/>
        <v/>
      </c>
      <c r="R72" s="284" t="str">
        <f t="shared" si="78"/>
        <v/>
      </c>
      <c r="S72" s="284" t="str">
        <f t="shared" si="78"/>
        <v/>
      </c>
      <c r="T72" s="284" t="str">
        <f t="shared" si="78"/>
        <v/>
      </c>
      <c r="U72" s="284" t="str">
        <f t="shared" si="78"/>
        <v/>
      </c>
      <c r="V72" s="284" t="str">
        <f t="shared" si="78"/>
        <v/>
      </c>
      <c r="W72" s="284" t="str">
        <f t="shared" si="78"/>
        <v/>
      </c>
      <c r="X72" s="284" t="str">
        <f t="shared" si="78"/>
        <v/>
      </c>
      <c r="Y72" s="284" t="str">
        <f t="shared" si="78"/>
        <v/>
      </c>
      <c r="Z72" s="284" t="str">
        <f t="shared" si="78"/>
        <v/>
      </c>
      <c r="AA72" s="284" t="str">
        <f t="shared" si="78"/>
        <v/>
      </c>
      <c r="AB72" s="284" t="str">
        <f t="shared" si="78"/>
        <v/>
      </c>
      <c r="AC72" s="284" t="str">
        <f t="shared" si="78"/>
        <v/>
      </c>
      <c r="AD72" s="284" t="str">
        <f t="shared" si="78"/>
        <v/>
      </c>
      <c r="AE72" s="284" t="str">
        <f t="shared" si="78"/>
        <v/>
      </c>
      <c r="AF72" s="284" t="str">
        <f t="shared" si="78"/>
        <v/>
      </c>
      <c r="AG72" s="284" t="str">
        <f t="shared" si="78"/>
        <v/>
      </c>
      <c r="AH72" s="284" t="str">
        <f t="shared" si="78"/>
        <v/>
      </c>
      <c r="AI72" s="284" t="str">
        <f t="shared" si="78"/>
        <v/>
      </c>
      <c r="AJ72" s="284" t="str">
        <f t="shared" si="78"/>
        <v/>
      </c>
      <c r="AK72" s="284" t="str">
        <f t="shared" si="78"/>
        <v/>
      </c>
      <c r="AL72" s="284" t="str">
        <f t="shared" si="7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0</v>
      </c>
      <c r="I74" s="289">
        <f t="shared" ref="I74:AL74" si="79">H74+I26-I14</f>
        <v>0</v>
      </c>
      <c r="J74" s="289">
        <f t="shared" si="79"/>
        <v>-6.72</v>
      </c>
      <c r="K74" s="289">
        <f t="shared" si="79"/>
        <v>-6.72</v>
      </c>
      <c r="L74" s="289">
        <f t="shared" si="79"/>
        <v>-6.72</v>
      </c>
      <c r="M74" s="289">
        <f t="shared" si="79"/>
        <v>-13.44</v>
      </c>
      <c r="N74" s="289">
        <f t="shared" si="79"/>
        <v>-20.16</v>
      </c>
      <c r="O74" s="289">
        <f t="shared" si="79"/>
        <v>-26.88</v>
      </c>
      <c r="P74" s="289">
        <f t="shared" si="79"/>
        <v>-33.6</v>
      </c>
      <c r="Q74" s="289">
        <f t="shared" si="79"/>
        <v>-40.32</v>
      </c>
      <c r="R74" s="289">
        <f t="shared" si="79"/>
        <v>-40.32</v>
      </c>
      <c r="S74" s="289">
        <f t="shared" si="79"/>
        <v>-40.32</v>
      </c>
      <c r="T74" s="289">
        <f t="shared" si="79"/>
        <v>-47.04</v>
      </c>
      <c r="U74" s="289">
        <f t="shared" si="79"/>
        <v>-53.76</v>
      </c>
      <c r="V74" s="289">
        <f t="shared" si="79"/>
        <v>-60.48</v>
      </c>
      <c r="W74" s="289">
        <f t="shared" si="79"/>
        <v>-67.2</v>
      </c>
      <c r="X74" s="289">
        <f t="shared" si="79"/>
        <v>-73.92</v>
      </c>
      <c r="Y74" s="289">
        <f t="shared" si="79"/>
        <v>-73.92</v>
      </c>
      <c r="Z74" s="289">
        <f t="shared" si="79"/>
        <v>-73.92</v>
      </c>
      <c r="AA74" s="289">
        <f t="shared" si="79"/>
        <v>-80.64</v>
      </c>
      <c r="AB74" s="289">
        <f t="shared" si="79"/>
        <v>-87.36</v>
      </c>
      <c r="AC74" s="289">
        <f t="shared" si="79"/>
        <v>-94.08</v>
      </c>
      <c r="AD74" s="289">
        <f t="shared" si="79"/>
        <v>-100.8</v>
      </c>
      <c r="AE74" s="289">
        <f t="shared" si="79"/>
        <v>-107.52</v>
      </c>
      <c r="AF74" s="289">
        <f t="shared" si="79"/>
        <v>-107.52</v>
      </c>
      <c r="AG74" s="289">
        <f t="shared" si="79"/>
        <v>-107.52</v>
      </c>
      <c r="AH74" s="289">
        <f t="shared" si="79"/>
        <v>-114.24</v>
      </c>
      <c r="AI74" s="289">
        <f t="shared" si="79"/>
        <v>-120.96</v>
      </c>
      <c r="AJ74" s="289">
        <f t="shared" si="79"/>
        <v>-127.67999999999999</v>
      </c>
      <c r="AK74" s="289">
        <f t="shared" si="79"/>
        <v>-134.4</v>
      </c>
      <c r="AL74" s="289">
        <f t="shared" si="79"/>
        <v>-141.12</v>
      </c>
      <c r="AM74" s="290">
        <f>AL74</f>
        <v>-141.12</v>
      </c>
    </row>
    <row r="75" spans="2:40" ht="12.75" customHeight="1" x14ac:dyDescent="0.2">
      <c r="B75" s="250"/>
      <c r="C75" s="11"/>
      <c r="D75" s="250"/>
      <c r="E75" s="250"/>
      <c r="F75" s="574"/>
      <c r="G75" s="203" t="s">
        <v>71</v>
      </c>
      <c r="H75" s="291">
        <f>H74/TaginSt</f>
        <v>0</v>
      </c>
      <c r="I75" s="247">
        <f t="shared" ref="I75:AL75" si="80">I74/TaginSt</f>
        <v>0</v>
      </c>
      <c r="J75" s="247">
        <f t="shared" si="80"/>
        <v>-0.79999999999999993</v>
      </c>
      <c r="K75" s="247">
        <f t="shared" si="80"/>
        <v>-0.79999999999999993</v>
      </c>
      <c r="L75" s="247">
        <f t="shared" si="80"/>
        <v>-0.79999999999999993</v>
      </c>
      <c r="M75" s="247">
        <f t="shared" si="80"/>
        <v>-1.5999999999999999</v>
      </c>
      <c r="N75" s="247">
        <f t="shared" si="80"/>
        <v>-2.4</v>
      </c>
      <c r="O75" s="247">
        <f t="shared" si="80"/>
        <v>-3.1999999999999997</v>
      </c>
      <c r="P75" s="247">
        <f t="shared" si="80"/>
        <v>-4</v>
      </c>
      <c r="Q75" s="247">
        <f t="shared" si="80"/>
        <v>-4.8</v>
      </c>
      <c r="R75" s="247">
        <f t="shared" si="80"/>
        <v>-4.8</v>
      </c>
      <c r="S75" s="247">
        <f t="shared" si="80"/>
        <v>-4.8</v>
      </c>
      <c r="T75" s="247">
        <f t="shared" si="80"/>
        <v>-5.6</v>
      </c>
      <c r="U75" s="247">
        <f t="shared" si="80"/>
        <v>-6.3999999999999995</v>
      </c>
      <c r="V75" s="247">
        <f t="shared" si="80"/>
        <v>-7.1999999999999993</v>
      </c>
      <c r="W75" s="247">
        <f t="shared" si="80"/>
        <v>-8</v>
      </c>
      <c r="X75" s="247">
        <f t="shared" si="80"/>
        <v>-8.8000000000000007</v>
      </c>
      <c r="Y75" s="247">
        <f t="shared" si="80"/>
        <v>-8.8000000000000007</v>
      </c>
      <c r="Z75" s="247">
        <f t="shared" si="80"/>
        <v>-8.8000000000000007</v>
      </c>
      <c r="AA75" s="247">
        <f t="shared" si="80"/>
        <v>-9.6</v>
      </c>
      <c r="AB75" s="247">
        <f t="shared" si="80"/>
        <v>-10.4</v>
      </c>
      <c r="AC75" s="247">
        <f t="shared" si="80"/>
        <v>-11.2</v>
      </c>
      <c r="AD75" s="247">
        <f t="shared" si="80"/>
        <v>-12</v>
      </c>
      <c r="AE75" s="247">
        <f t="shared" si="80"/>
        <v>-12.799999999999999</v>
      </c>
      <c r="AF75" s="247">
        <f t="shared" si="80"/>
        <v>-12.799999999999999</v>
      </c>
      <c r="AG75" s="247">
        <f t="shared" si="80"/>
        <v>-12.799999999999999</v>
      </c>
      <c r="AH75" s="247">
        <f t="shared" si="80"/>
        <v>-13.6</v>
      </c>
      <c r="AI75" s="247">
        <f t="shared" si="80"/>
        <v>-14.399999999999999</v>
      </c>
      <c r="AJ75" s="247">
        <f t="shared" si="80"/>
        <v>-15.2</v>
      </c>
      <c r="AK75" s="247">
        <f t="shared" si="80"/>
        <v>-16</v>
      </c>
      <c r="AL75" s="247">
        <f t="shared" si="80"/>
        <v>-16.8</v>
      </c>
      <c r="AM75" s="292">
        <f>AL75</f>
        <v>-16.8</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t="s">
        <v>4</v>
      </c>
      <c r="I77" s="5" t="s">
        <v>59</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8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8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8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8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8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8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8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8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8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8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8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81"/>
        <v>0</v>
      </c>
    </row>
    <row r="91" spans="2:39" ht="12.75" customHeight="1" x14ac:dyDescent="0.2">
      <c r="B91" s="470"/>
      <c r="C91" s="166"/>
      <c r="D91" s="581"/>
      <c r="E91" s="582"/>
      <c r="F91" s="560" t="str">
        <f>Arbeitsber.!B17</f>
        <v>Sonstiges</v>
      </c>
      <c r="G91" s="561"/>
      <c r="H91" s="301">
        <f t="shared" ref="H91:AL91" si="82">SUM(((H18-H17)*24)+((H20-H19)*24)+((H22-H21)*24)+H23+(H24*TaginSt))-SUM(H79:H90)</f>
        <v>0</v>
      </c>
      <c r="I91" s="301">
        <f t="shared" si="82"/>
        <v>0</v>
      </c>
      <c r="J91" s="301">
        <f t="shared" si="82"/>
        <v>0</v>
      </c>
      <c r="K91" s="301">
        <f t="shared" si="82"/>
        <v>0</v>
      </c>
      <c r="L91" s="301">
        <f t="shared" si="82"/>
        <v>0</v>
      </c>
      <c r="M91" s="301">
        <f t="shared" si="82"/>
        <v>0</v>
      </c>
      <c r="N91" s="301">
        <f t="shared" si="82"/>
        <v>0</v>
      </c>
      <c r="O91" s="301">
        <f t="shared" si="82"/>
        <v>0</v>
      </c>
      <c r="P91" s="301">
        <f t="shared" si="82"/>
        <v>0</v>
      </c>
      <c r="Q91" s="301">
        <f t="shared" si="82"/>
        <v>0</v>
      </c>
      <c r="R91" s="301">
        <f t="shared" si="82"/>
        <v>0</v>
      </c>
      <c r="S91" s="301">
        <f t="shared" si="82"/>
        <v>0</v>
      </c>
      <c r="T91" s="301">
        <f t="shared" si="82"/>
        <v>0</v>
      </c>
      <c r="U91" s="301">
        <f t="shared" si="82"/>
        <v>0</v>
      </c>
      <c r="V91" s="301">
        <f t="shared" si="82"/>
        <v>0</v>
      </c>
      <c r="W91" s="301">
        <f t="shared" si="82"/>
        <v>0</v>
      </c>
      <c r="X91" s="301">
        <f t="shared" si="82"/>
        <v>0</v>
      </c>
      <c r="Y91" s="301">
        <f t="shared" si="82"/>
        <v>0</v>
      </c>
      <c r="Z91" s="301">
        <f t="shared" si="82"/>
        <v>0</v>
      </c>
      <c r="AA91" s="301">
        <f t="shared" si="82"/>
        <v>0</v>
      </c>
      <c r="AB91" s="301">
        <f t="shared" si="82"/>
        <v>0</v>
      </c>
      <c r="AC91" s="301">
        <f t="shared" si="82"/>
        <v>0</v>
      </c>
      <c r="AD91" s="301">
        <f t="shared" si="82"/>
        <v>0</v>
      </c>
      <c r="AE91" s="301">
        <f t="shared" si="82"/>
        <v>0</v>
      </c>
      <c r="AF91" s="301">
        <f t="shared" si="82"/>
        <v>0</v>
      </c>
      <c r="AG91" s="301">
        <f t="shared" si="82"/>
        <v>0</v>
      </c>
      <c r="AH91" s="301">
        <f t="shared" si="82"/>
        <v>0</v>
      </c>
      <c r="AI91" s="301">
        <f t="shared" si="82"/>
        <v>0</v>
      </c>
      <c r="AJ91" s="301">
        <f t="shared" si="82"/>
        <v>0</v>
      </c>
      <c r="AK91" s="301">
        <f t="shared" si="82"/>
        <v>0</v>
      </c>
      <c r="AL91" s="301">
        <f t="shared" si="8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1PMtSPnKRInglht4rV2+86o2AJ1jYbc8gsthpS9od2vtUfIPDHRl17Zs+AEB8N0jVIdQ07FZCXADhJyT7Q1AqA==" saltValue="1ctqvHte8ODqFjzWp0eANQ==" spinCount="100000" sheet="1" objects="1" scenarios="1"/>
  <mergeCells count="29">
    <mergeCell ref="AO42:AO53"/>
    <mergeCell ref="F42:F55"/>
    <mergeCell ref="F14:F15"/>
    <mergeCell ref="F89:G89"/>
    <mergeCell ref="B17:B18"/>
    <mergeCell ref="F26:F28"/>
    <mergeCell ref="F30:F38"/>
    <mergeCell ref="F74:F75"/>
    <mergeCell ref="F79:G79"/>
    <mergeCell ref="C17:C18"/>
    <mergeCell ref="D79:E91"/>
    <mergeCell ref="F56:F68"/>
    <mergeCell ref="F17:F24"/>
    <mergeCell ref="F41:G41"/>
    <mergeCell ref="F94:G94"/>
    <mergeCell ref="F78:G78"/>
    <mergeCell ref="F93:G93"/>
    <mergeCell ref="F80:G80"/>
    <mergeCell ref="F81:G81"/>
    <mergeCell ref="F82:G82"/>
    <mergeCell ref="F83:G83"/>
    <mergeCell ref="F84:G84"/>
    <mergeCell ref="F85:G85"/>
    <mergeCell ref="F86:G86"/>
    <mergeCell ref="F87:G87"/>
    <mergeCell ref="F88:G88"/>
    <mergeCell ref="F90:G90"/>
    <mergeCell ref="F91:G91"/>
    <mergeCell ref="F92:G92"/>
  </mergeCells>
  <phoneticPr fontId="4" type="noConversion"/>
  <conditionalFormatting sqref="H11:AL12">
    <cfRule type="expression" dxfId="130" priority="95">
      <formula>OR(WEEKDAY(H$12,2)=7,IF(ISERROR(VLOOKUP(H$12,Feiertagsanspruch,1,FALSE)),0,VLOOKUP(H$12,Feiertagsanspruch,1,FALSE)))</formula>
    </cfRule>
  </conditionalFormatting>
  <conditionalFormatting sqref="H17:AL24">
    <cfRule type="expression" dxfId="129" priority="96">
      <formula>OR(WEEKDAY(H$12,2)=7,IF(ISERROR(VLOOKUP(H$12,Feiertagsanspruch,1,FALSE)),0,VLOOKUP(H$12,Feiertagsanspruch,1,FALSE)))</formula>
    </cfRule>
  </conditionalFormatting>
  <conditionalFormatting sqref="H30:AL32 H35:AL38">
    <cfRule type="expression" dxfId="128" priority="2">
      <formula>H$14=0</formula>
    </cfRule>
  </conditionalFormatting>
  <conditionalFormatting sqref="H33:AL34">
    <cfRule type="expression" dxfId="127" priority="1">
      <formula>H$9=0</formula>
    </cfRule>
  </conditionalFormatting>
  <conditionalFormatting sqref="H74:AL74">
    <cfRule type="cellIs" dxfId="126" priority="92" stopIfTrue="1" operator="lessThan">
      <formula>-20</formula>
    </cfRule>
    <cfRule type="cellIs" dxfId="125" priority="93" stopIfTrue="1" operator="greaterThan">
      <formula>50</formula>
    </cfRule>
  </conditionalFormatting>
  <conditionalFormatting sqref="H75:AL75">
    <cfRule type="cellIs" dxfId="124" priority="90" stopIfTrue="1" operator="lessThan">
      <formula>-2.38095238095238</formula>
    </cfRule>
    <cfRule type="cellIs" dxfId="123" priority="91" stopIfTrue="1" operator="greaterThan">
      <formula>5.95238095238095</formula>
    </cfRule>
  </conditionalFormatting>
  <dataValidations count="13">
    <dataValidation allowBlank="1" sqref="H29:AL29" xr:uid="{88242292-BA2E-4DBB-BA56-028CFA710E9A}"/>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27F47EB7-6438-4A27-A79C-F80E19C07AB0}">
      <formula1>AND(H35&lt;=H6,H35&gt;0,SUM(H30:H38)&lt;=H6,COUNTA(H29:H37)&lt;=MaxAbwesenheitenproTag,OR(H31=""))</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219BE09C-E0C2-4FE8-8CE3-5F91D166D301}">
      <formula1>AND(H30&lt;=H6,H30&gt;0,SUM(H30:H38)&lt;=H6,COUNTA(H30:H38)&lt;=MaxAbwesenheitenproTag,OR(H31=""))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7AB91AF9-19FB-4DA1-B0C6-94DFA9DC6B46}">
      <formula1>AND(H31&lt;=100, H31&gt;0,SUM(H30:H38)&lt;=H6,COUNTA(H30:H38)&lt;=MaxAbwesenheitenproTag,OR(AND(H30="",H32="",H33="",H35="",H36="",H37="",H38="")))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1F22DEC5-451E-42B9-9063-6D8128E87B25}">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280F454-975D-4C4B-935A-93C5C526E7CF}">
      <formula1>AND(J31&lt;=100, J31&gt;0,SUM(J30:J38)&lt;=J6,COUNTA(J30:J38)&lt;=MaxAbwesenheitenproTag,OR(AND(J30="",J32="",J33="",J35="",J36="",J37="",J38="")))</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7C89AC86-A547-446A-AB2C-F61A26877B10}">
      <formula1>AND(J35&lt;=J6,J35&gt;0,SUM(J30:J38)&lt;=J6,COUNTA(J29:J37)&lt;=MaxAbwesenheitenproTag,OR(J31=""))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98C2200E-0C80-4CD8-8333-37BDC5AF3226}">
      <formula1>AND(H9&gt;0,H33&lt;=1,H33&gt;0,SUM(H30:H38)&lt;=1,COUNTA(H30:H38)&lt;=MaxAbwesenheitenproTag,OR(H31=""))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3E397AAF-3E38-44A4-9AAC-A33D556680BD}">
      <formula1>AND(H36&lt;=H6,H36&gt;0,SUM(H30:H38)&lt;=H6,COUNTA(H30:H38)&lt;=MaxAbwesenheitenproTag,OR(H31=""))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A1F5F879-BF69-4BEB-A23C-879F5BAA35DB}">
      <formula1>AND(J36&lt;=J6,J36&gt;0,SUM(J30:J38)&lt;=J6,COUNTA(J30:J38)&lt;=MaxAbwesenheitenproTag,OR(J31=""))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DBC35E6E-25B0-4C4D-9912-1DF46954BCA9}">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A51B413-8647-422F-A9AD-9958043BD5BE}">
      <formula1>AND(H38&lt;=H6, H38&gt;0,SUM(H30:H38)&lt;=H6,COUNTA(H30:H38)&lt;=MaxAbwesenheitenproTag,OR(H31=""))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8A2FE167-E1DB-4A36-AD1B-99FEED2E48AE}">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&amp;LAusdruck vom &amp;D&amp;C&amp;A&amp;R&amp;P/&amp;N</oddFooter>
  </headerFooter>
  <ignoredErrors>
    <ignoredError sqref="H43:I43 J43:AL43" formula="1"/>
  </ignoredErrors>
  <drawing r:id="rId2"/>
  <extLst>
    <ext xmlns:x14="http://schemas.microsoft.com/office/spreadsheetml/2009/9/main" uri="{78C0D931-6437-407d-A8EE-F0AAD7539E65}">
      <x14:conditionalFormattings>
        <x14:conditionalFormatting xmlns:xm="http://schemas.microsoft.com/office/excel/2006/main">
          <x14:cfRule type="iconSet" priority="89" id="{0962FEDC-44DF-42CB-94C8-D973D2522B9D}">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86F7-E5D2-4D9B-B7B1-1B9E4BDD95F4}">
  <sheetPr>
    <tabColor theme="5" tint="0.79998168889431442"/>
    <pageSetUpPr fitToPage="1"/>
  </sheetPr>
  <dimension ref="B1:AQ99"/>
  <sheetViews>
    <sheetView showGridLines="0" showRowColHeaders="0" topLeftCell="A6" zoomScaleNormal="100" workbookViewId="0">
      <pane xSplit="7" ySplit="7"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6" width="6" style="10" customWidth="1"/>
    <col min="37"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171</v>
      </c>
      <c r="H3" s="171">
        <f t="shared" ref="H3:AI3" si="2">IF(OR(WEEKDAY(H$12,2)=7,H1&gt;0),0,TaginSt-H14-H4)</f>
        <v>8.4</v>
      </c>
      <c r="I3" s="171">
        <f t="shared" si="2"/>
        <v>0</v>
      </c>
      <c r="J3" s="171">
        <f t="shared" si="2"/>
        <v>0</v>
      </c>
      <c r="K3" s="171">
        <f t="shared" si="2"/>
        <v>0</v>
      </c>
      <c r="L3" s="171">
        <f t="shared" si="2"/>
        <v>0</v>
      </c>
      <c r="M3" s="171">
        <f t="shared" si="2"/>
        <v>0</v>
      </c>
      <c r="N3" s="171">
        <f t="shared" si="2"/>
        <v>0</v>
      </c>
      <c r="O3" s="171">
        <f t="shared" si="2"/>
        <v>8.4</v>
      </c>
      <c r="P3" s="171">
        <f t="shared" si="2"/>
        <v>0</v>
      </c>
      <c r="Q3" s="171">
        <f t="shared" si="2"/>
        <v>0</v>
      </c>
      <c r="R3" s="171">
        <f t="shared" si="2"/>
        <v>0</v>
      </c>
      <c r="S3" s="171">
        <f t="shared" si="2"/>
        <v>0</v>
      </c>
      <c r="T3" s="171">
        <f t="shared" si="2"/>
        <v>0</v>
      </c>
      <c r="U3" s="171">
        <f t="shared" si="2"/>
        <v>0</v>
      </c>
      <c r="V3" s="171">
        <f t="shared" si="2"/>
        <v>8.4</v>
      </c>
      <c r="W3" s="171">
        <f t="shared" si="2"/>
        <v>0</v>
      </c>
      <c r="X3" s="171">
        <f t="shared" si="2"/>
        <v>0</v>
      </c>
      <c r="Y3" s="171">
        <f t="shared" si="2"/>
        <v>0</v>
      </c>
      <c r="Z3" s="171">
        <f t="shared" si="2"/>
        <v>0</v>
      </c>
      <c r="AA3" s="171">
        <f t="shared" si="2"/>
        <v>0</v>
      </c>
      <c r="AB3" s="171">
        <f t="shared" si="2"/>
        <v>0</v>
      </c>
      <c r="AC3" s="171">
        <f t="shared" si="2"/>
        <v>8.4</v>
      </c>
      <c r="AD3" s="171">
        <f t="shared" si="2"/>
        <v>0</v>
      </c>
      <c r="AE3" s="171">
        <f t="shared" si="2"/>
        <v>0</v>
      </c>
      <c r="AF3" s="171">
        <f t="shared" si="2"/>
        <v>0</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0</v>
      </c>
      <c r="I4" s="170">
        <f t="shared" si="3"/>
        <v>0</v>
      </c>
      <c r="J4" s="170">
        <f t="shared" si="3"/>
        <v>1.6800000000000006</v>
      </c>
      <c r="K4" s="170">
        <f t="shared" si="3"/>
        <v>1.6800000000000006</v>
      </c>
      <c r="L4" s="170">
        <f t="shared" si="3"/>
        <v>1.6800000000000006</v>
      </c>
      <c r="M4" s="170">
        <f t="shared" si="3"/>
        <v>1.6800000000000006</v>
      </c>
      <c r="N4" s="170">
        <f t="shared" si="3"/>
        <v>1.6800000000000006</v>
      </c>
      <c r="O4" s="170">
        <f t="shared" si="3"/>
        <v>0</v>
      </c>
      <c r="P4" s="170">
        <f t="shared" si="3"/>
        <v>0</v>
      </c>
      <c r="Q4" s="170">
        <f t="shared" si="3"/>
        <v>1.6800000000000006</v>
      </c>
      <c r="R4" s="170">
        <f t="shared" si="3"/>
        <v>1.6800000000000006</v>
      </c>
      <c r="S4" s="170">
        <f t="shared" si="3"/>
        <v>1.6800000000000006</v>
      </c>
      <c r="T4" s="170">
        <f t="shared" si="3"/>
        <v>1.6800000000000006</v>
      </c>
      <c r="U4" s="170">
        <f t="shared" si="3"/>
        <v>1.6800000000000006</v>
      </c>
      <c r="V4" s="170">
        <f t="shared" si="3"/>
        <v>0</v>
      </c>
      <c r="W4" s="170">
        <f t="shared" si="3"/>
        <v>0</v>
      </c>
      <c r="X4" s="170">
        <f t="shared" si="3"/>
        <v>1.6800000000000006</v>
      </c>
      <c r="Y4" s="170">
        <f t="shared" si="3"/>
        <v>1.6800000000000006</v>
      </c>
      <c r="Z4" s="170">
        <f t="shared" si="3"/>
        <v>1.6800000000000006</v>
      </c>
      <c r="AA4" s="170">
        <f t="shared" si="3"/>
        <v>1.6800000000000006</v>
      </c>
      <c r="AB4" s="170">
        <f t="shared" si="3"/>
        <v>1.6800000000000006</v>
      </c>
      <c r="AC4" s="170">
        <f t="shared" si="3"/>
        <v>0</v>
      </c>
      <c r="AD4" s="170">
        <f t="shared" si="3"/>
        <v>0</v>
      </c>
      <c r="AE4" s="170">
        <f t="shared" si="3"/>
        <v>1.6800000000000006</v>
      </c>
      <c r="AF4" s="170">
        <f t="shared" si="3"/>
        <v>1.6800000000000006</v>
      </c>
      <c r="AG4" s="170">
        <f t="shared" si="3"/>
        <v>1.6800000000000006</v>
      </c>
      <c r="AH4" s="170">
        <f t="shared" si="3"/>
        <v>1.6800000000000006</v>
      </c>
      <c r="AI4" s="170">
        <f t="shared" si="3"/>
        <v>1.6800000000000006</v>
      </c>
      <c r="AJ4" s="170">
        <f t="shared" si="3"/>
        <v>0</v>
      </c>
      <c r="AK4" s="170">
        <f t="shared" si="3"/>
        <v>0</v>
      </c>
      <c r="AL4" s="170">
        <f t="shared" si="3"/>
        <v>0</v>
      </c>
      <c r="AM4" s="170">
        <f>SUM(H4:AL4)</f>
        <v>33.6</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0</v>
      </c>
      <c r="AK5" s="171">
        <f t="shared" si="4"/>
        <v>0</v>
      </c>
      <c r="AL5" s="171">
        <f t="shared" si="4"/>
        <v>0</v>
      </c>
      <c r="AM5" s="170"/>
    </row>
    <row r="6" spans="2:39" hidden="1" x14ac:dyDescent="0.2">
      <c r="D6" s="166"/>
      <c r="E6" s="166"/>
      <c r="F6" s="172" t="s">
        <v>7</v>
      </c>
      <c r="G6" s="173" t="s">
        <v>107</v>
      </c>
      <c r="H6" s="174">
        <f t="shared" ref="H6:AI6" si="5">IF(AND(H7=1,H9&gt;0,WEEKDAY(H12,2)&lt;6),(TaginSt-H1)/TaginSt,0)</f>
        <v>0</v>
      </c>
      <c r="I6" s="174">
        <f t="shared" si="5"/>
        <v>0</v>
      </c>
      <c r="J6" s="174">
        <f t="shared" si="5"/>
        <v>1</v>
      </c>
      <c r="K6" s="174">
        <f t="shared" si="5"/>
        <v>1</v>
      </c>
      <c r="L6" s="174">
        <f t="shared" si="5"/>
        <v>1</v>
      </c>
      <c r="M6" s="174">
        <f t="shared" si="5"/>
        <v>1</v>
      </c>
      <c r="N6" s="174">
        <f t="shared" si="5"/>
        <v>1</v>
      </c>
      <c r="O6" s="174">
        <f t="shared" si="5"/>
        <v>0</v>
      </c>
      <c r="P6" s="174">
        <f t="shared" si="5"/>
        <v>0</v>
      </c>
      <c r="Q6" s="174">
        <f t="shared" si="5"/>
        <v>1</v>
      </c>
      <c r="R6" s="174">
        <f t="shared" si="5"/>
        <v>1</v>
      </c>
      <c r="S6" s="174">
        <f t="shared" si="5"/>
        <v>1</v>
      </c>
      <c r="T6" s="174">
        <f t="shared" si="5"/>
        <v>1</v>
      </c>
      <c r="U6" s="174">
        <f t="shared" si="5"/>
        <v>1</v>
      </c>
      <c r="V6" s="174">
        <f t="shared" si="5"/>
        <v>0</v>
      </c>
      <c r="W6" s="174">
        <f t="shared" si="5"/>
        <v>0</v>
      </c>
      <c r="X6" s="174">
        <f t="shared" si="5"/>
        <v>1</v>
      </c>
      <c r="Y6" s="174">
        <f t="shared" si="5"/>
        <v>1</v>
      </c>
      <c r="Z6" s="174">
        <f t="shared" si="5"/>
        <v>1</v>
      </c>
      <c r="AA6" s="174">
        <f t="shared" si="5"/>
        <v>1</v>
      </c>
      <c r="AB6" s="174">
        <f t="shared" si="5"/>
        <v>1</v>
      </c>
      <c r="AC6" s="174">
        <f t="shared" si="5"/>
        <v>0</v>
      </c>
      <c r="AD6" s="174">
        <f t="shared" si="5"/>
        <v>0</v>
      </c>
      <c r="AE6" s="174">
        <f t="shared" si="5"/>
        <v>1</v>
      </c>
      <c r="AF6" s="174">
        <f t="shared" si="5"/>
        <v>1</v>
      </c>
      <c r="AG6" s="174">
        <f t="shared" si="5"/>
        <v>1</v>
      </c>
      <c r="AH6" s="174">
        <f t="shared" si="5"/>
        <v>1</v>
      </c>
      <c r="AI6" s="174">
        <f t="shared" si="5"/>
        <v>1</v>
      </c>
      <c r="AJ6" s="174">
        <f>IFERROR(IF(AND(AJ7=1,AJ9&gt;0,WEEKDAY(AJ12,2)&lt;6),(TaginSt-AJ1)/TaginSt,0),0)</f>
        <v>0</v>
      </c>
      <c r="AK6" s="174">
        <f>IFERROR(IF(AND(AK7=1,AK9&gt;0,WEEKDAY(AK12,2)&lt;6),(TaginSt-AK1)/TaginSt,0),0)</f>
        <v>0</v>
      </c>
      <c r="AL6" s="174">
        <f>IFERROR(IF(AND(AL7=1,AL9&gt;0,WEEKDAY(AL12,2)&lt;6),(TaginSt-AL1)/TaginSt,0),0)</f>
        <v>0</v>
      </c>
      <c r="AM6" s="175"/>
    </row>
    <row r="7" spans="2:39" hidden="1" x14ac:dyDescent="0.2">
      <c r="F7" s="176">
        <v>2</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0</v>
      </c>
      <c r="AK7" s="177">
        <f t="shared" si="6"/>
        <v>0</v>
      </c>
      <c r="AL7" s="177">
        <f t="shared" si="6"/>
        <v>0</v>
      </c>
      <c r="AM7" s="177">
        <f>SUM(H7:AL7)</f>
        <v>28</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0</v>
      </c>
      <c r="AK9" s="181">
        <f t="shared" si="7"/>
        <v>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Februar</v>
      </c>
      <c r="C11" s="184">
        <f>Jahr</f>
        <v>2025</v>
      </c>
      <c r="D11" s="166"/>
      <c r="E11" s="166"/>
      <c r="F11" s="185"/>
      <c r="G11" s="186"/>
      <c r="H11" s="187" t="str">
        <f>TEXT(H12,"TTT")</f>
        <v>Sa</v>
      </c>
      <c r="I11" s="188" t="str">
        <f>TEXT(I12,"TTT")</f>
        <v>So</v>
      </c>
      <c r="J11" s="188" t="str">
        <f t="shared" ref="J11:L11" si="8">TEXT(J12,"TTT")</f>
        <v>Mo</v>
      </c>
      <c r="K11" s="188" t="str">
        <f t="shared" si="8"/>
        <v>Di</v>
      </c>
      <c r="L11" s="188" t="str">
        <f t="shared" si="8"/>
        <v>Mi</v>
      </c>
      <c r="M11" s="188" t="str">
        <f>TEXT(M12,"TTT")</f>
        <v>Do</v>
      </c>
      <c r="N11" s="188" t="str">
        <f t="shared" ref="N11:AL11" si="9">TEXT(N12,"TTT")</f>
        <v>Fr</v>
      </c>
      <c r="O11" s="188" t="str">
        <f t="shared" si="9"/>
        <v>Sa</v>
      </c>
      <c r="P11" s="188" t="str">
        <f t="shared" si="9"/>
        <v>So</v>
      </c>
      <c r="Q11" s="188" t="str">
        <f t="shared" si="9"/>
        <v>Mo</v>
      </c>
      <c r="R11" s="188" t="str">
        <f t="shared" si="9"/>
        <v>Di</v>
      </c>
      <c r="S11" s="188" t="str">
        <f t="shared" si="9"/>
        <v>Mi</v>
      </c>
      <c r="T11" s="188" t="str">
        <f t="shared" si="9"/>
        <v>Do</v>
      </c>
      <c r="U11" s="188" t="str">
        <f t="shared" si="9"/>
        <v>Fr</v>
      </c>
      <c r="V11" s="188" t="str">
        <f t="shared" si="9"/>
        <v>Sa</v>
      </c>
      <c r="W11" s="188" t="str">
        <f t="shared" si="9"/>
        <v>So</v>
      </c>
      <c r="X11" s="188" t="str">
        <f t="shared" si="9"/>
        <v>Mo</v>
      </c>
      <c r="Y11" s="188" t="str">
        <f t="shared" si="9"/>
        <v>Di</v>
      </c>
      <c r="Z11" s="188" t="str">
        <f t="shared" si="9"/>
        <v>Mi</v>
      </c>
      <c r="AA11" s="188" t="str">
        <f t="shared" si="9"/>
        <v>Do</v>
      </c>
      <c r="AB11" s="188" t="str">
        <f t="shared" si="9"/>
        <v>Fr</v>
      </c>
      <c r="AC11" s="188" t="str">
        <f t="shared" si="9"/>
        <v>Sa</v>
      </c>
      <c r="AD11" s="188" t="str">
        <f t="shared" si="9"/>
        <v>So</v>
      </c>
      <c r="AE11" s="188" t="str">
        <f t="shared" si="9"/>
        <v>Mo</v>
      </c>
      <c r="AF11" s="188" t="str">
        <f t="shared" si="9"/>
        <v>Di</v>
      </c>
      <c r="AG11" s="188" t="str">
        <f t="shared" si="9"/>
        <v>Mi</v>
      </c>
      <c r="AH11" s="188" t="str">
        <f t="shared" si="9"/>
        <v>Do</v>
      </c>
      <c r="AI11" s="188" t="str">
        <f t="shared" si="9"/>
        <v>Fr</v>
      </c>
      <c r="AJ11" s="188" t="str">
        <f t="shared" si="9"/>
        <v/>
      </c>
      <c r="AK11" s="188" t="str">
        <f t="shared" si="9"/>
        <v/>
      </c>
      <c r="AL11" s="188" t="str">
        <f t="shared" si="9"/>
        <v/>
      </c>
      <c r="AM11" s="188"/>
    </row>
    <row r="12" spans="2:39" ht="12.75" customHeight="1" thickBot="1" x14ac:dyDescent="0.25">
      <c r="B12" s="189" t="str">
        <f>Pfarrer</f>
        <v>Heinz Muster</v>
      </c>
      <c r="C12" s="190"/>
      <c r="D12" s="191"/>
      <c r="E12" s="191"/>
      <c r="F12" s="185"/>
      <c r="G12" s="192" t="s">
        <v>2</v>
      </c>
      <c r="H12" s="193">
        <f>DATE(C11,F7,1)</f>
        <v>44227</v>
      </c>
      <c r="I12" s="194">
        <f>DATE(C11,F7,2)</f>
        <v>44228</v>
      </c>
      <c r="J12" s="194">
        <f>DATE(C11,F7,3)</f>
        <v>44229</v>
      </c>
      <c r="K12" s="194">
        <f>DATE(C11,F7,4)</f>
        <v>44230</v>
      </c>
      <c r="L12" s="194">
        <f>DATE(C11,F7,5)</f>
        <v>44231</v>
      </c>
      <c r="M12" s="194">
        <f>DATE(C11,F7,6)</f>
        <v>44232</v>
      </c>
      <c r="N12" s="194">
        <f>DATE(C11,F7,7)</f>
        <v>44233</v>
      </c>
      <c r="O12" s="194">
        <f>DATE(C11,F7,8)</f>
        <v>44234</v>
      </c>
      <c r="P12" s="194">
        <f>DATE(C11,F7,9)</f>
        <v>44235</v>
      </c>
      <c r="Q12" s="194">
        <f>DATE(C11,F7,10)</f>
        <v>44236</v>
      </c>
      <c r="R12" s="194">
        <f>DATE(C11,F7,11)</f>
        <v>44237</v>
      </c>
      <c r="S12" s="194">
        <f>DATE(C11,F7,12)</f>
        <v>44238</v>
      </c>
      <c r="T12" s="194">
        <f>DATE(C11,F7,13)</f>
        <v>44239</v>
      </c>
      <c r="U12" s="194">
        <f>DATE(C11,F7,14)</f>
        <v>44240</v>
      </c>
      <c r="V12" s="194">
        <f>DATE(C11,F7,15)</f>
        <v>44241</v>
      </c>
      <c r="W12" s="194">
        <f>DATE(C11,F7,16)</f>
        <v>44242</v>
      </c>
      <c r="X12" s="194">
        <f>DATE(C11,F7,17)</f>
        <v>44243</v>
      </c>
      <c r="Y12" s="194">
        <f>DATE(C11,F7,18)</f>
        <v>44244</v>
      </c>
      <c r="Z12" s="194">
        <f>DATE(C11,F7,19)</f>
        <v>44245</v>
      </c>
      <c r="AA12" s="194">
        <f>DATE(C11,F7,20)</f>
        <v>44246</v>
      </c>
      <c r="AB12" s="194">
        <f>DATE(C11,F7,21)</f>
        <v>44247</v>
      </c>
      <c r="AC12" s="194">
        <f>DATE(C11,F7,22)</f>
        <v>44248</v>
      </c>
      <c r="AD12" s="194">
        <f>DATE(C11,F7,23)</f>
        <v>44249</v>
      </c>
      <c r="AE12" s="194">
        <f>DATE(C11,F7,24)</f>
        <v>44250</v>
      </c>
      <c r="AF12" s="194">
        <f>DATE(C11,F7,25)</f>
        <v>44251</v>
      </c>
      <c r="AG12" s="194">
        <f>DATE(C11,F7,26)</f>
        <v>44252</v>
      </c>
      <c r="AH12" s="194">
        <f>DATE(C11,F7,27)</f>
        <v>44253</v>
      </c>
      <c r="AI12" s="194">
        <f>DATE(C11,F7,28)</f>
        <v>44254</v>
      </c>
      <c r="AJ12" s="194" t="str">
        <f>IFERROR(IF(MONTH(AI12+1)=MONTH($H$12),AI$12+1,""),"")</f>
        <v/>
      </c>
      <c r="AK12" s="194" t="str">
        <f>IFERROR(IF(MONTH(AJ12+1)=MONTH($H$12),AJ$12+1,""),"")</f>
        <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0</v>
      </c>
      <c r="I14" s="204">
        <f t="shared" si="10"/>
        <v>0</v>
      </c>
      <c r="J14" s="204">
        <f t="shared" si="10"/>
        <v>6.72</v>
      </c>
      <c r="K14" s="204">
        <f t="shared" si="10"/>
        <v>6.72</v>
      </c>
      <c r="L14" s="204">
        <f t="shared" si="10"/>
        <v>6.72</v>
      </c>
      <c r="M14" s="204">
        <f t="shared" si="10"/>
        <v>6.72</v>
      </c>
      <c r="N14" s="204">
        <f t="shared" si="10"/>
        <v>6.72</v>
      </c>
      <c r="O14" s="204">
        <f t="shared" si="10"/>
        <v>0</v>
      </c>
      <c r="P14" s="204">
        <f t="shared" si="10"/>
        <v>0</v>
      </c>
      <c r="Q14" s="204">
        <f t="shared" si="10"/>
        <v>6.72</v>
      </c>
      <c r="R14" s="204">
        <f t="shared" si="10"/>
        <v>6.72</v>
      </c>
      <c r="S14" s="204">
        <f t="shared" si="10"/>
        <v>6.72</v>
      </c>
      <c r="T14" s="204">
        <f t="shared" si="10"/>
        <v>6.72</v>
      </c>
      <c r="U14" s="204">
        <f t="shared" si="10"/>
        <v>6.72</v>
      </c>
      <c r="V14" s="204">
        <f t="shared" si="10"/>
        <v>0</v>
      </c>
      <c r="W14" s="204">
        <f t="shared" si="10"/>
        <v>0</v>
      </c>
      <c r="X14" s="204">
        <f t="shared" si="10"/>
        <v>6.72</v>
      </c>
      <c r="Y14" s="204">
        <f t="shared" si="10"/>
        <v>6.72</v>
      </c>
      <c r="Z14" s="204">
        <f t="shared" si="10"/>
        <v>6.72</v>
      </c>
      <c r="AA14" s="204">
        <f t="shared" si="10"/>
        <v>6.72</v>
      </c>
      <c r="AB14" s="204">
        <f t="shared" si="10"/>
        <v>6.72</v>
      </c>
      <c r="AC14" s="204">
        <f t="shared" si="10"/>
        <v>0</v>
      </c>
      <c r="AD14" s="204">
        <f t="shared" si="10"/>
        <v>0</v>
      </c>
      <c r="AE14" s="204">
        <f t="shared" si="10"/>
        <v>6.72</v>
      </c>
      <c r="AF14" s="204">
        <f t="shared" si="10"/>
        <v>6.72</v>
      </c>
      <c r="AG14" s="204">
        <f t="shared" si="10"/>
        <v>6.72</v>
      </c>
      <c r="AH14" s="204">
        <f t="shared" si="10"/>
        <v>6.72</v>
      </c>
      <c r="AI14" s="204">
        <f t="shared" si="10"/>
        <v>6.72</v>
      </c>
      <c r="AJ14" s="204">
        <f>IFERROR(IF(OR(WEEKDAY(AJ12,2)&gt;=6,AJ7=0),0,(TaginSt-AJ1)*AJ9/100),0)</f>
        <v>0</v>
      </c>
      <c r="AK14" s="204">
        <f>IFERROR(IF(OR(WEEKDAY(AK12,2)&gt;=6,AK7=0),0,(TaginSt-AK1)*AK9/100),0)</f>
        <v>0</v>
      </c>
      <c r="AL14" s="204">
        <f>IFERROR(IF(OR(WEEKDAY(AL12,2)&gt;=6,AL7=0),0,(TaginSt-AL1)*AL9/100),0)</f>
        <v>0</v>
      </c>
      <c r="AM14" s="205">
        <f>SUM(H14:AL14)</f>
        <v>134.4</v>
      </c>
    </row>
    <row r="15" spans="2:39" ht="12.75" customHeight="1" x14ac:dyDescent="0.2">
      <c r="D15" s="202"/>
      <c r="E15" s="202"/>
      <c r="F15" s="566"/>
      <c r="G15" s="203" t="s">
        <v>136</v>
      </c>
      <c r="H15" s="204">
        <f t="shared" ref="H15:AL15" si="11">H14/TaginSt</f>
        <v>0</v>
      </c>
      <c r="I15" s="206">
        <f t="shared" si="11"/>
        <v>0</v>
      </c>
      <c r="J15" s="206">
        <f t="shared" si="11"/>
        <v>0.79999999999999993</v>
      </c>
      <c r="K15" s="206">
        <f t="shared" si="11"/>
        <v>0.79999999999999993</v>
      </c>
      <c r="L15" s="206">
        <f t="shared" si="11"/>
        <v>0.79999999999999993</v>
      </c>
      <c r="M15" s="206">
        <f t="shared" si="11"/>
        <v>0.79999999999999993</v>
      </c>
      <c r="N15" s="206">
        <f t="shared" si="11"/>
        <v>0.79999999999999993</v>
      </c>
      <c r="O15" s="206">
        <f t="shared" si="11"/>
        <v>0</v>
      </c>
      <c r="P15" s="206">
        <f t="shared" si="11"/>
        <v>0</v>
      </c>
      <c r="Q15" s="206">
        <f t="shared" si="11"/>
        <v>0.79999999999999993</v>
      </c>
      <c r="R15" s="206">
        <f t="shared" si="11"/>
        <v>0.79999999999999993</v>
      </c>
      <c r="S15" s="206">
        <f t="shared" si="11"/>
        <v>0.79999999999999993</v>
      </c>
      <c r="T15" s="206">
        <f t="shared" si="11"/>
        <v>0.79999999999999993</v>
      </c>
      <c r="U15" s="206">
        <f t="shared" si="11"/>
        <v>0.79999999999999993</v>
      </c>
      <c r="V15" s="206">
        <f t="shared" si="11"/>
        <v>0</v>
      </c>
      <c r="W15" s="206">
        <f t="shared" si="11"/>
        <v>0</v>
      </c>
      <c r="X15" s="206">
        <f t="shared" si="11"/>
        <v>0.79999999999999993</v>
      </c>
      <c r="Y15" s="206">
        <f t="shared" si="11"/>
        <v>0.79999999999999993</v>
      </c>
      <c r="Z15" s="206">
        <f t="shared" si="11"/>
        <v>0.79999999999999993</v>
      </c>
      <c r="AA15" s="206">
        <f t="shared" si="11"/>
        <v>0.79999999999999993</v>
      </c>
      <c r="AB15" s="206">
        <f t="shared" si="11"/>
        <v>0.79999999999999993</v>
      </c>
      <c r="AC15" s="206">
        <f t="shared" si="11"/>
        <v>0</v>
      </c>
      <c r="AD15" s="206">
        <f t="shared" si="11"/>
        <v>0</v>
      </c>
      <c r="AE15" s="206">
        <f t="shared" si="11"/>
        <v>0.79999999999999993</v>
      </c>
      <c r="AF15" s="206">
        <f t="shared" si="11"/>
        <v>0.79999999999999993</v>
      </c>
      <c r="AG15" s="206">
        <f t="shared" si="11"/>
        <v>0.79999999999999993</v>
      </c>
      <c r="AH15" s="206">
        <f t="shared" si="11"/>
        <v>0.79999999999999993</v>
      </c>
      <c r="AI15" s="206">
        <f t="shared" si="11"/>
        <v>0.79999999999999993</v>
      </c>
      <c r="AJ15" s="206">
        <f t="shared" si="11"/>
        <v>0</v>
      </c>
      <c r="AK15" s="206">
        <f t="shared" si="11"/>
        <v>0</v>
      </c>
      <c r="AL15" s="206">
        <f t="shared" si="11"/>
        <v>0</v>
      </c>
      <c r="AM15" s="205">
        <f>SUM(H15:AL15)</f>
        <v>16.000000000000004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SaldoStdEndeJan</f>
        <v>-141.12</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213"/>
      <c r="AL17" s="214"/>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217"/>
      <c r="AL18" s="218"/>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221"/>
      <c r="AL19" s="222"/>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217"/>
      <c r="AL20" s="218"/>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221"/>
      <c r="AL21" s="222"/>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228"/>
      <c r="AL22" s="229"/>
      <c r="AM22" s="219"/>
    </row>
    <row r="23" spans="2:39" ht="12.75" customHeight="1" thickBot="1" x14ac:dyDescent="0.25">
      <c r="B23" s="230" t="s">
        <v>110</v>
      </c>
      <c r="C23" s="231">
        <f>Jan!C23-AM42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232"/>
      <c r="AL23" s="233"/>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236"/>
      <c r="AL24" s="237"/>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Jan!C27-AM50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255"/>
      <c r="AL30" s="255"/>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258"/>
      <c r="AL31" s="258"/>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255"/>
      <c r="AL32" s="255"/>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255"/>
      <c r="AL33" s="255"/>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255"/>
      <c r="AL35" s="255"/>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255"/>
      <c r="AL36" s="255"/>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255"/>
      <c r="AL37" s="255"/>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255"/>
      <c r="AL38" s="255"/>
      <c r="AM38" s="247">
        <f t="shared" si="15"/>
        <v>0</v>
      </c>
    </row>
    <row r="39" spans="2:43" ht="12.75" customHeight="1" x14ac:dyDescent="0.2">
      <c r="D39" s="250"/>
      <c r="E39" s="250"/>
      <c r="F39" s="458" t="s">
        <v>266</v>
      </c>
      <c r="G39" s="262" t="s">
        <v>168</v>
      </c>
      <c r="H39" s="263">
        <f t="shared" ref="H39:AL40" si="16">IF(ISERROR(H51/TaginSt),0,H51/TaginSt)</f>
        <v>1</v>
      </c>
      <c r="I39" s="263">
        <f t="shared" si="16"/>
        <v>0</v>
      </c>
      <c r="J39" s="263">
        <f t="shared" si="16"/>
        <v>0</v>
      </c>
      <c r="K39" s="263">
        <f t="shared" si="16"/>
        <v>0</v>
      </c>
      <c r="L39" s="263">
        <f>IF(ISERROR(L51/TaginSt),0,L51/TaginSt)</f>
        <v>0</v>
      </c>
      <c r="M39" s="263">
        <f t="shared" si="16"/>
        <v>0</v>
      </c>
      <c r="N39" s="263">
        <f t="shared" si="16"/>
        <v>0</v>
      </c>
      <c r="O39" s="263">
        <f t="shared" si="16"/>
        <v>1</v>
      </c>
      <c r="P39" s="263">
        <f t="shared" si="16"/>
        <v>0</v>
      </c>
      <c r="Q39" s="263">
        <f t="shared" si="16"/>
        <v>0</v>
      </c>
      <c r="R39" s="263">
        <f t="shared" si="16"/>
        <v>0</v>
      </c>
      <c r="S39" s="263">
        <f t="shared" si="16"/>
        <v>0</v>
      </c>
      <c r="T39" s="263">
        <f t="shared" si="16"/>
        <v>0</v>
      </c>
      <c r="U39" s="263">
        <f t="shared" si="16"/>
        <v>0</v>
      </c>
      <c r="V39" s="263">
        <f t="shared" si="16"/>
        <v>1</v>
      </c>
      <c r="W39" s="263">
        <f t="shared" si="16"/>
        <v>0</v>
      </c>
      <c r="X39" s="263">
        <f t="shared" si="16"/>
        <v>0</v>
      </c>
      <c r="Y39" s="263">
        <f t="shared" si="16"/>
        <v>0</v>
      </c>
      <c r="Z39" s="263">
        <f t="shared" si="16"/>
        <v>0</v>
      </c>
      <c r="AA39" s="263">
        <f t="shared" si="16"/>
        <v>0</v>
      </c>
      <c r="AB39" s="263">
        <f t="shared" si="16"/>
        <v>0</v>
      </c>
      <c r="AC39" s="263">
        <f t="shared" si="16"/>
        <v>1</v>
      </c>
      <c r="AD39" s="263">
        <f t="shared" si="16"/>
        <v>0</v>
      </c>
      <c r="AE39" s="263">
        <f t="shared" si="16"/>
        <v>0</v>
      </c>
      <c r="AF39" s="263">
        <f t="shared" si="16"/>
        <v>0</v>
      </c>
      <c r="AG39" s="263">
        <f t="shared" si="16"/>
        <v>0</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459" t="s">
        <v>267</v>
      </c>
      <c r="G40" s="266" t="s">
        <v>188</v>
      </c>
      <c r="H40" s="263">
        <f t="shared" si="16"/>
        <v>0</v>
      </c>
      <c r="I40" s="263">
        <f t="shared" si="16"/>
        <v>0</v>
      </c>
      <c r="J40" s="263">
        <f>IF(ISERROR(J52/TaginSt),0,J52/TaginSt)</f>
        <v>1</v>
      </c>
      <c r="K40" s="263">
        <f t="shared" si="16"/>
        <v>1</v>
      </c>
      <c r="L40" s="263">
        <f t="shared" si="16"/>
        <v>1</v>
      </c>
      <c r="M40" s="263">
        <f t="shared" si="16"/>
        <v>1</v>
      </c>
      <c r="N40" s="263">
        <f t="shared" si="16"/>
        <v>1</v>
      </c>
      <c r="O40" s="263">
        <f t="shared" si="16"/>
        <v>0</v>
      </c>
      <c r="P40" s="263">
        <f t="shared" si="16"/>
        <v>0</v>
      </c>
      <c r="Q40" s="263">
        <f t="shared" si="16"/>
        <v>1</v>
      </c>
      <c r="R40" s="263">
        <f t="shared" si="16"/>
        <v>1</v>
      </c>
      <c r="S40" s="263">
        <f t="shared" si="16"/>
        <v>1</v>
      </c>
      <c r="T40" s="263">
        <f t="shared" si="16"/>
        <v>1</v>
      </c>
      <c r="U40" s="263">
        <f t="shared" si="16"/>
        <v>1</v>
      </c>
      <c r="V40" s="263">
        <f t="shared" si="16"/>
        <v>0</v>
      </c>
      <c r="W40" s="263">
        <f t="shared" si="16"/>
        <v>0</v>
      </c>
      <c r="X40" s="263">
        <f t="shared" si="16"/>
        <v>1</v>
      </c>
      <c r="Y40" s="263">
        <f t="shared" si="16"/>
        <v>1</v>
      </c>
      <c r="Z40" s="263">
        <f t="shared" si="16"/>
        <v>1</v>
      </c>
      <c r="AA40" s="263">
        <f t="shared" si="16"/>
        <v>1</v>
      </c>
      <c r="AB40" s="263">
        <f t="shared" si="16"/>
        <v>1</v>
      </c>
      <c r="AC40" s="263">
        <f t="shared" si="16"/>
        <v>0</v>
      </c>
      <c r="AD40" s="263">
        <f t="shared" si="16"/>
        <v>0</v>
      </c>
      <c r="AE40" s="263">
        <f t="shared" si="16"/>
        <v>1</v>
      </c>
      <c r="AF40" s="263">
        <f t="shared" si="16"/>
        <v>1</v>
      </c>
      <c r="AG40" s="263">
        <f t="shared" si="16"/>
        <v>1</v>
      </c>
      <c r="AH40" s="263">
        <f t="shared" si="16"/>
        <v>1</v>
      </c>
      <c r="AI40" s="263">
        <f t="shared" si="16"/>
        <v>1</v>
      </c>
      <c r="AJ40" s="263">
        <f t="shared" si="16"/>
        <v>0</v>
      </c>
      <c r="AK40" s="263">
        <f t="shared" si="16"/>
        <v>0</v>
      </c>
      <c r="AL40" s="263">
        <f t="shared" si="16"/>
        <v>0</v>
      </c>
      <c r="AM40" s="264">
        <f>SUM(H40:AL40)</f>
        <v>20</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8.4</v>
      </c>
      <c r="I51" s="270">
        <f t="shared" si="29"/>
        <v>0</v>
      </c>
      <c r="J51" s="270">
        <f t="shared" si="29"/>
        <v>0</v>
      </c>
      <c r="K51" s="270">
        <f t="shared" si="29"/>
        <v>0</v>
      </c>
      <c r="L51" s="270">
        <f t="shared" si="29"/>
        <v>0</v>
      </c>
      <c r="M51" s="270">
        <f t="shared" si="29"/>
        <v>0</v>
      </c>
      <c r="N51" s="270">
        <f t="shared" si="29"/>
        <v>0</v>
      </c>
      <c r="O51" s="270">
        <f t="shared" si="29"/>
        <v>8.4</v>
      </c>
      <c r="P51" s="270">
        <f t="shared" si="29"/>
        <v>0</v>
      </c>
      <c r="Q51" s="270">
        <f t="shared" si="29"/>
        <v>0</v>
      </c>
      <c r="R51" s="270">
        <f t="shared" si="29"/>
        <v>0</v>
      </c>
      <c r="S51" s="270">
        <f t="shared" si="29"/>
        <v>0</v>
      </c>
      <c r="T51" s="270">
        <f t="shared" si="29"/>
        <v>0</v>
      </c>
      <c r="U51" s="270">
        <f t="shared" si="29"/>
        <v>0</v>
      </c>
      <c r="V51" s="270">
        <f t="shared" si="29"/>
        <v>8.4</v>
      </c>
      <c r="W51" s="270">
        <f t="shared" si="29"/>
        <v>0</v>
      </c>
      <c r="X51" s="270">
        <f t="shared" si="29"/>
        <v>0</v>
      </c>
      <c r="Y51" s="270">
        <f t="shared" si="29"/>
        <v>0</v>
      </c>
      <c r="Z51" s="270">
        <f t="shared" si="29"/>
        <v>0</v>
      </c>
      <c r="AA51" s="270">
        <f t="shared" si="29"/>
        <v>0</v>
      </c>
      <c r="AB51" s="270">
        <f t="shared" si="29"/>
        <v>0</v>
      </c>
      <c r="AC51" s="270">
        <f t="shared" si="29"/>
        <v>8.4</v>
      </c>
      <c r="AD51" s="270">
        <f t="shared" si="29"/>
        <v>0</v>
      </c>
      <c r="AE51" s="270">
        <f t="shared" si="29"/>
        <v>0</v>
      </c>
      <c r="AF51" s="270">
        <f t="shared" si="29"/>
        <v>0</v>
      </c>
      <c r="AG51" s="270">
        <f t="shared" si="29"/>
        <v>0</v>
      </c>
      <c r="AH51" s="270">
        <f t="shared" si="29"/>
        <v>0</v>
      </c>
      <c r="AI51" s="270">
        <f t="shared" si="29"/>
        <v>0</v>
      </c>
      <c r="AJ51" s="270" t="str">
        <f>IFERROR(IF(OR(AJ3&gt;0,AND(AJ9=100,OR(WEEKDAY(AJ12,2)&lt;7,AJ1&gt;0))),AJ3+AJ14-AJ26,0),"")</f>
        <v/>
      </c>
      <c r="AK51" s="270" t="str">
        <f>IFERROR(IF(OR(AK3&gt;0,AND(AK9=100,OR(WEEKDAY(AK12,2)&lt;7,AK1&gt;0))),AK3+AK14-AK26,0),"")</f>
        <v/>
      </c>
      <c r="AL51" s="270" t="str">
        <f>IFERROR(IF(OR(AL3&gt;0,AND(AL9=100,OR(WEEKDAY(AL12,2)&lt;7,AL1&gt;0))),AL3+AL14-AL26,0),"")</f>
        <v/>
      </c>
      <c r="AM51" s="271">
        <f t="shared" si="20"/>
        <v>33.6</v>
      </c>
      <c r="AN51" s="272"/>
      <c r="AO51" s="562"/>
    </row>
    <row r="52" spans="2:41" ht="12.75" hidden="1" customHeight="1" x14ac:dyDescent="0.2">
      <c r="B52" s="256"/>
      <c r="C52" s="257"/>
      <c r="D52" s="250"/>
      <c r="E52" s="250"/>
      <c r="F52" s="564"/>
      <c r="G52" s="269" t="s">
        <v>170</v>
      </c>
      <c r="H52" s="270">
        <f t="shared" ref="H52:AI52" si="30">IF(H4&gt;0,IF(AND(H1&gt;0,H14+H4-H26&lt;=H4),H4,H14+H4-H26),0)</f>
        <v>0</v>
      </c>
      <c r="I52" s="270">
        <f t="shared" si="30"/>
        <v>0</v>
      </c>
      <c r="J52" s="270">
        <f t="shared" si="30"/>
        <v>8.4</v>
      </c>
      <c r="K52" s="270">
        <f t="shared" si="30"/>
        <v>8.4</v>
      </c>
      <c r="L52" s="270">
        <f t="shared" si="30"/>
        <v>8.4</v>
      </c>
      <c r="M52" s="270">
        <f t="shared" si="30"/>
        <v>8.4</v>
      </c>
      <c r="N52" s="270">
        <f t="shared" si="30"/>
        <v>8.4</v>
      </c>
      <c r="O52" s="270">
        <f t="shared" si="30"/>
        <v>0</v>
      </c>
      <c r="P52" s="270">
        <f t="shared" si="30"/>
        <v>0</v>
      </c>
      <c r="Q52" s="270">
        <f t="shared" si="30"/>
        <v>8.4</v>
      </c>
      <c r="R52" s="270">
        <f t="shared" si="30"/>
        <v>8.4</v>
      </c>
      <c r="S52" s="270">
        <f t="shared" si="30"/>
        <v>8.4</v>
      </c>
      <c r="T52" s="270">
        <f t="shared" si="30"/>
        <v>8.4</v>
      </c>
      <c r="U52" s="270">
        <f t="shared" si="30"/>
        <v>8.4</v>
      </c>
      <c r="V52" s="270">
        <f t="shared" si="30"/>
        <v>0</v>
      </c>
      <c r="W52" s="270">
        <f t="shared" si="30"/>
        <v>0</v>
      </c>
      <c r="X52" s="270">
        <f t="shared" si="30"/>
        <v>8.4</v>
      </c>
      <c r="Y52" s="270">
        <f t="shared" si="30"/>
        <v>8.4</v>
      </c>
      <c r="Z52" s="270">
        <f t="shared" si="30"/>
        <v>8.4</v>
      </c>
      <c r="AA52" s="270">
        <f t="shared" si="30"/>
        <v>8.4</v>
      </c>
      <c r="AB52" s="270">
        <f t="shared" si="30"/>
        <v>8.4</v>
      </c>
      <c r="AC52" s="270">
        <f t="shared" si="30"/>
        <v>0</v>
      </c>
      <c r="AD52" s="270">
        <f t="shared" si="30"/>
        <v>0</v>
      </c>
      <c r="AE52" s="270">
        <f t="shared" si="30"/>
        <v>8.4</v>
      </c>
      <c r="AF52" s="270">
        <f t="shared" si="30"/>
        <v>8.4</v>
      </c>
      <c r="AG52" s="270">
        <f t="shared" si="30"/>
        <v>8.4</v>
      </c>
      <c r="AH52" s="270">
        <f t="shared" si="30"/>
        <v>8.4</v>
      </c>
      <c r="AI52" s="270">
        <f t="shared" si="30"/>
        <v>8.4</v>
      </c>
      <c r="AJ52" s="270">
        <f>IFERROR(IF(AJ4&gt;0,IF(AND(AJ1&gt;0,AJ14+AJ4-AJ26&lt;=AJ4),AJ4,AJ14+AJ4-AJ26),0),"")</f>
        <v>0</v>
      </c>
      <c r="AK52" s="270">
        <f>IFERROR(IF(AK4&gt;0,IF(AND(AK1&gt;0,AK14+AK4-AK26&lt;=AK4),AK4,AK14+AK4-AK26),0),"")</f>
        <v>0</v>
      </c>
      <c r="AL52" s="270">
        <f>IFERROR(IF(AL4&gt;0,IF(AND(AL1&gt;0,AL14+AL4-AL26&lt;=AL4),AL4,AL14+AL4-AL26),0),"")</f>
        <v>0</v>
      </c>
      <c r="AM52" s="271">
        <f t="shared" si="20"/>
        <v>168.00000000000006</v>
      </c>
      <c r="AN52" s="272"/>
      <c r="AO52" s="562"/>
    </row>
    <row r="53" spans="2:41" ht="12.75" hidden="1" customHeight="1" x14ac:dyDescent="0.2">
      <c r="B53" s="256"/>
      <c r="C53" s="257"/>
      <c r="D53" s="250"/>
      <c r="E53" s="250"/>
      <c r="F53" s="564"/>
      <c r="G53" s="275" t="s">
        <v>173</v>
      </c>
      <c r="H53" s="270">
        <f>IFERROR(H51+H52,"")</f>
        <v>8.4</v>
      </c>
      <c r="I53" s="270">
        <f t="shared" ref="I53:AL53" si="31">IFERROR(I51+I52,"")</f>
        <v>0</v>
      </c>
      <c r="J53" s="270">
        <f t="shared" si="31"/>
        <v>8.4</v>
      </c>
      <c r="K53" s="270">
        <f t="shared" si="31"/>
        <v>8.4</v>
      </c>
      <c r="L53" s="270">
        <f t="shared" si="31"/>
        <v>8.4</v>
      </c>
      <c r="M53" s="270">
        <f t="shared" si="31"/>
        <v>8.4</v>
      </c>
      <c r="N53" s="270">
        <f t="shared" si="31"/>
        <v>8.4</v>
      </c>
      <c r="O53" s="270">
        <f t="shared" si="31"/>
        <v>8.4</v>
      </c>
      <c r="P53" s="270">
        <f t="shared" si="31"/>
        <v>0</v>
      </c>
      <c r="Q53" s="270">
        <f t="shared" si="31"/>
        <v>8.4</v>
      </c>
      <c r="R53" s="270">
        <f t="shared" si="31"/>
        <v>8.4</v>
      </c>
      <c r="S53" s="270">
        <f t="shared" si="31"/>
        <v>8.4</v>
      </c>
      <c r="T53" s="270">
        <f t="shared" si="31"/>
        <v>8.4</v>
      </c>
      <c r="U53" s="270">
        <f t="shared" si="31"/>
        <v>8.4</v>
      </c>
      <c r="V53" s="270">
        <f t="shared" si="31"/>
        <v>8.4</v>
      </c>
      <c r="W53" s="270">
        <f t="shared" si="31"/>
        <v>0</v>
      </c>
      <c r="X53" s="270">
        <f t="shared" si="31"/>
        <v>8.4</v>
      </c>
      <c r="Y53" s="270">
        <f t="shared" si="31"/>
        <v>8.4</v>
      </c>
      <c r="Z53" s="270">
        <f t="shared" si="31"/>
        <v>8.4</v>
      </c>
      <c r="AA53" s="270">
        <f t="shared" si="31"/>
        <v>8.4</v>
      </c>
      <c r="AB53" s="270">
        <f t="shared" si="31"/>
        <v>8.4</v>
      </c>
      <c r="AC53" s="270">
        <f t="shared" si="31"/>
        <v>8.4</v>
      </c>
      <c r="AD53" s="270">
        <f t="shared" si="31"/>
        <v>0</v>
      </c>
      <c r="AE53" s="270">
        <f t="shared" si="31"/>
        <v>8.4</v>
      </c>
      <c r="AF53" s="270">
        <f t="shared" si="31"/>
        <v>8.4</v>
      </c>
      <c r="AG53" s="270">
        <f t="shared" si="31"/>
        <v>8.4</v>
      </c>
      <c r="AH53" s="270">
        <f t="shared" si="31"/>
        <v>8.4</v>
      </c>
      <c r="AI53" s="270">
        <f t="shared" si="31"/>
        <v>8.4</v>
      </c>
      <c r="AJ53" s="270" t="str">
        <f t="shared" si="31"/>
        <v/>
      </c>
      <c r="AK53" s="270" t="str">
        <f t="shared" si="31"/>
        <v/>
      </c>
      <c r="AL53" s="270" t="str">
        <f t="shared" si="31"/>
        <v/>
      </c>
      <c r="AM53" s="271">
        <f t="shared" si="20"/>
        <v>201.60000000000008</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0</v>
      </c>
      <c r="I55" s="270">
        <f t="shared" si="33"/>
        <v>0</v>
      </c>
      <c r="J55" s="270">
        <f t="shared" si="33"/>
        <v>6.72</v>
      </c>
      <c r="K55" s="270">
        <f t="shared" si="33"/>
        <v>6.72</v>
      </c>
      <c r="L55" s="270">
        <f t="shared" si="33"/>
        <v>6.72</v>
      </c>
      <c r="M55" s="270">
        <f t="shared" si="33"/>
        <v>6.72</v>
      </c>
      <c r="N55" s="270">
        <f t="shared" si="33"/>
        <v>6.72</v>
      </c>
      <c r="O55" s="270">
        <f t="shared" si="33"/>
        <v>0</v>
      </c>
      <c r="P55" s="270">
        <f t="shared" si="33"/>
        <v>0</v>
      </c>
      <c r="Q55" s="270">
        <f t="shared" si="33"/>
        <v>6.72</v>
      </c>
      <c r="R55" s="270">
        <f t="shared" si="33"/>
        <v>6.72</v>
      </c>
      <c r="S55" s="270">
        <f t="shared" si="33"/>
        <v>6.72</v>
      </c>
      <c r="T55" s="270">
        <f t="shared" si="33"/>
        <v>6.72</v>
      </c>
      <c r="U55" s="270">
        <f t="shared" si="33"/>
        <v>6.72</v>
      </c>
      <c r="V55" s="270">
        <f t="shared" si="33"/>
        <v>0</v>
      </c>
      <c r="W55" s="270">
        <f t="shared" si="33"/>
        <v>0</v>
      </c>
      <c r="X55" s="270">
        <f t="shared" si="33"/>
        <v>6.72</v>
      </c>
      <c r="Y55" s="270">
        <f t="shared" si="33"/>
        <v>6.72</v>
      </c>
      <c r="Z55" s="270">
        <f t="shared" si="33"/>
        <v>6.72</v>
      </c>
      <c r="AA55" s="270">
        <f t="shared" si="33"/>
        <v>6.72</v>
      </c>
      <c r="AB55" s="270">
        <f t="shared" si="33"/>
        <v>6.72</v>
      </c>
      <c r="AC55" s="270">
        <f t="shared" si="33"/>
        <v>0</v>
      </c>
      <c r="AD55" s="270">
        <f t="shared" si="33"/>
        <v>0</v>
      </c>
      <c r="AE55" s="270">
        <f t="shared" si="33"/>
        <v>6.72</v>
      </c>
      <c r="AF55" s="270">
        <f t="shared" si="33"/>
        <v>6.72</v>
      </c>
      <c r="AG55" s="270">
        <f t="shared" si="33"/>
        <v>6.72</v>
      </c>
      <c r="AH55" s="270">
        <f t="shared" si="33"/>
        <v>6.72</v>
      </c>
      <c r="AI55" s="270">
        <f t="shared" si="33"/>
        <v>6.72</v>
      </c>
      <c r="AJ55" s="270">
        <f t="shared" si="33"/>
        <v>0</v>
      </c>
      <c r="AK55" s="270">
        <f t="shared" si="33"/>
        <v>0</v>
      </c>
      <c r="AL55" s="270">
        <f t="shared" si="33"/>
        <v>0</v>
      </c>
      <c r="AM55" s="271">
        <f t="shared" si="20"/>
        <v>134.4</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
      </c>
      <c r="J66" s="279" t="str">
        <f t="shared" si="44"/>
        <v>8,4 TZ/FR</v>
      </c>
      <c r="K66" s="279" t="str">
        <f t="shared" si="44"/>
        <v>8,4 TZ/FR</v>
      </c>
      <c r="L66" s="279" t="str">
        <f t="shared" si="44"/>
        <v>8,4 TZ/FR</v>
      </c>
      <c r="M66" s="279" t="str">
        <f t="shared" si="44"/>
        <v>8,4 TZ/FR</v>
      </c>
      <c r="N66" s="279" t="str">
        <f t="shared" si="44"/>
        <v>8,4 TZ/FR</v>
      </c>
      <c r="O66" s="279" t="str">
        <f t="shared" si="44"/>
        <v>8,4 TZ/FR</v>
      </c>
      <c r="P66" s="279" t="str">
        <f t="shared" si="44"/>
        <v/>
      </c>
      <c r="Q66" s="279" t="str">
        <f t="shared" si="44"/>
        <v>8,4 TZ/FR</v>
      </c>
      <c r="R66" s="279" t="str">
        <f t="shared" si="44"/>
        <v>8,4 TZ/FR</v>
      </c>
      <c r="S66" s="279" t="str">
        <f t="shared" si="44"/>
        <v>8,4 TZ/FR</v>
      </c>
      <c r="T66" s="279" t="str">
        <f t="shared" si="44"/>
        <v>8,4 TZ/FR</v>
      </c>
      <c r="U66" s="279" t="str">
        <f t="shared" si="44"/>
        <v>8,4 TZ/FR</v>
      </c>
      <c r="V66" s="279" t="str">
        <f t="shared" si="44"/>
        <v>8,4 TZ/FR</v>
      </c>
      <c r="W66" s="279" t="str">
        <f t="shared" si="44"/>
        <v/>
      </c>
      <c r="X66" s="279" t="str">
        <f t="shared" si="44"/>
        <v>8,4 TZ/FR</v>
      </c>
      <c r="Y66" s="279" t="str">
        <f t="shared" si="44"/>
        <v>8,4 TZ/FR</v>
      </c>
      <c r="Z66" s="279" t="str">
        <f t="shared" si="44"/>
        <v>8,4 TZ/FR</v>
      </c>
      <c r="AA66" s="279" t="str">
        <f t="shared" si="44"/>
        <v>8,4 TZ/FR</v>
      </c>
      <c r="AB66" s="279" t="str">
        <f t="shared" si="44"/>
        <v>8,4 TZ/FR</v>
      </c>
      <c r="AC66" s="279" t="str">
        <f t="shared" si="44"/>
        <v>8,4 TZ/FR</v>
      </c>
      <c r="AD66" s="279" t="str">
        <f t="shared" si="44"/>
        <v/>
      </c>
      <c r="AE66" s="279" t="str">
        <f t="shared" si="44"/>
        <v>8,4 TZ/FR</v>
      </c>
      <c r="AF66" s="279" t="str">
        <f t="shared" si="44"/>
        <v>8,4 TZ/FR</v>
      </c>
      <c r="AG66" s="279" t="str">
        <f t="shared" si="44"/>
        <v>8,4 TZ/FR</v>
      </c>
      <c r="AH66" s="279" t="str">
        <f t="shared" si="44"/>
        <v>8,4 TZ/FR</v>
      </c>
      <c r="AI66" s="279" t="str">
        <f t="shared" si="44"/>
        <v>8,4 TZ/FR</v>
      </c>
      <c r="AJ66" s="279" t="str">
        <f t="shared" si="44"/>
        <v/>
      </c>
      <c r="AK66" s="279" t="str">
        <f t="shared" si="44"/>
        <v/>
      </c>
      <c r="AL66" s="279" t="str">
        <f t="shared" si="44"/>
        <v/>
      </c>
      <c r="AM66" s="280" t="str">
        <f>ROUND(AM52,2)&amp;" TZ/FR"</f>
        <v>168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
      </c>
      <c r="I68" s="279" t="str">
        <f t="shared" ref="I68:AL68" si="46">IF(OR(I55="",I55=0),"","FREI")</f>
        <v/>
      </c>
      <c r="J68" s="279" t="str">
        <f t="shared" si="46"/>
        <v>FREI</v>
      </c>
      <c r="K68" s="279" t="str">
        <f t="shared" si="46"/>
        <v>FREI</v>
      </c>
      <c r="L68" s="279" t="str">
        <f t="shared" si="46"/>
        <v>FREI</v>
      </c>
      <c r="M68" s="279" t="str">
        <f t="shared" si="46"/>
        <v>FREI</v>
      </c>
      <c r="N68" s="279" t="str">
        <f t="shared" si="46"/>
        <v>FREI</v>
      </c>
      <c r="O68" s="279" t="str">
        <f t="shared" si="46"/>
        <v/>
      </c>
      <c r="P68" s="279" t="str">
        <f t="shared" si="46"/>
        <v/>
      </c>
      <c r="Q68" s="279" t="str">
        <f t="shared" si="46"/>
        <v>FREI</v>
      </c>
      <c r="R68" s="279" t="str">
        <f t="shared" si="46"/>
        <v>FREI</v>
      </c>
      <c r="S68" s="279" t="str">
        <f t="shared" si="46"/>
        <v>FREI</v>
      </c>
      <c r="T68" s="279" t="str">
        <f t="shared" si="46"/>
        <v>FREI</v>
      </c>
      <c r="U68" s="279" t="str">
        <f t="shared" si="46"/>
        <v>FREI</v>
      </c>
      <c r="V68" s="279" t="str">
        <f t="shared" si="46"/>
        <v/>
      </c>
      <c r="W68" s="279" t="str">
        <f t="shared" si="46"/>
        <v/>
      </c>
      <c r="X68" s="279" t="str">
        <f t="shared" si="46"/>
        <v>FREI</v>
      </c>
      <c r="Y68" s="279" t="str">
        <f t="shared" si="46"/>
        <v>FREI</v>
      </c>
      <c r="Z68" s="279" t="str">
        <f t="shared" si="46"/>
        <v>FREI</v>
      </c>
      <c r="AA68" s="279" t="str">
        <f t="shared" si="46"/>
        <v>FREI</v>
      </c>
      <c r="AB68" s="279" t="str">
        <f t="shared" si="46"/>
        <v>FREI</v>
      </c>
      <c r="AC68" s="279" t="str">
        <f t="shared" si="46"/>
        <v/>
      </c>
      <c r="AD68" s="279" t="str">
        <f t="shared" si="46"/>
        <v/>
      </c>
      <c r="AE68" s="279" t="str">
        <f t="shared" si="46"/>
        <v>FREI</v>
      </c>
      <c r="AF68" s="279" t="str">
        <f t="shared" si="46"/>
        <v>FREI</v>
      </c>
      <c r="AG68" s="279" t="str">
        <f t="shared" si="46"/>
        <v>FREI</v>
      </c>
      <c r="AH68" s="279" t="str">
        <f t="shared" si="46"/>
        <v>FREI</v>
      </c>
      <c r="AI68" s="279" t="str">
        <f t="shared" si="46"/>
        <v>FREI</v>
      </c>
      <c r="AJ68" s="279" t="str">
        <f t="shared" si="46"/>
        <v/>
      </c>
      <c r="AK68" s="279" t="str">
        <f t="shared" si="46"/>
        <v/>
      </c>
      <c r="AL68" s="279" t="str">
        <f t="shared" si="46"/>
        <v/>
      </c>
      <c r="AM68" s="280"/>
      <c r="AN68" s="272"/>
    </row>
    <row r="69" spans="2:40" ht="12.75" hidden="1" customHeight="1" x14ac:dyDescent="0.2">
      <c r="B69" s="256"/>
      <c r="C69" s="257"/>
      <c r="D69" s="250"/>
      <c r="E69" s="250"/>
      <c r="F69" s="281"/>
      <c r="G69" s="282" t="s">
        <v>132</v>
      </c>
      <c r="H69" s="283" t="str">
        <f t="shared" ref="H69:AL69" si="47">_xlfn.TEXTJOIN(";",TRUE,H56,H57,H58,H59,H60,H61,H62,H63,H64,H68)</f>
        <v/>
      </c>
      <c r="I69" s="283" t="str">
        <f t="shared" si="47"/>
        <v/>
      </c>
      <c r="J69" s="283" t="str">
        <f t="shared" si="47"/>
        <v>FREI</v>
      </c>
      <c r="K69" s="283" t="str">
        <f t="shared" si="47"/>
        <v>FREI</v>
      </c>
      <c r="L69" s="283" t="str">
        <f>_xlfn.TEXTJOIN(";",TRUE,L56,L57,L58,L59,L60,L61,L62,L63,L64,L68)</f>
        <v>FREI</v>
      </c>
      <c r="M69" s="283" t="str">
        <f t="shared" si="47"/>
        <v>FREI</v>
      </c>
      <c r="N69" s="283" t="str">
        <f t="shared" si="47"/>
        <v>FREI</v>
      </c>
      <c r="O69" s="283" t="str">
        <f t="shared" si="47"/>
        <v/>
      </c>
      <c r="P69" s="283" t="str">
        <f t="shared" si="47"/>
        <v/>
      </c>
      <c r="Q69" s="283" t="str">
        <f t="shared" si="47"/>
        <v>FREI</v>
      </c>
      <c r="R69" s="283" t="str">
        <f t="shared" si="47"/>
        <v>FREI</v>
      </c>
      <c r="S69" s="283" t="str">
        <f t="shared" si="47"/>
        <v>FREI</v>
      </c>
      <c r="T69" s="283" t="str">
        <f t="shared" si="47"/>
        <v>FREI</v>
      </c>
      <c r="U69" s="283" t="str">
        <f t="shared" si="47"/>
        <v>FREI</v>
      </c>
      <c r="V69" s="283" t="str">
        <f t="shared" si="47"/>
        <v/>
      </c>
      <c r="W69" s="283" t="str">
        <f t="shared" si="47"/>
        <v/>
      </c>
      <c r="X69" s="283" t="str">
        <f t="shared" si="47"/>
        <v>FREI</v>
      </c>
      <c r="Y69" s="283" t="str">
        <f t="shared" si="47"/>
        <v>FREI</v>
      </c>
      <c r="Z69" s="283" t="str">
        <f t="shared" si="47"/>
        <v>FREI</v>
      </c>
      <c r="AA69" s="283" t="str">
        <f t="shared" si="47"/>
        <v>FREI</v>
      </c>
      <c r="AB69" s="283" t="str">
        <f t="shared" si="47"/>
        <v>FREI</v>
      </c>
      <c r="AC69" s="283" t="str">
        <f t="shared" si="47"/>
        <v/>
      </c>
      <c r="AD69" s="283" t="str">
        <f t="shared" si="47"/>
        <v/>
      </c>
      <c r="AE69" s="283" t="str">
        <f t="shared" si="47"/>
        <v>FREI</v>
      </c>
      <c r="AF69" s="283" t="str">
        <f t="shared" si="47"/>
        <v>FREI</v>
      </c>
      <c r="AG69" s="283" t="str">
        <f t="shared" si="47"/>
        <v>FREI</v>
      </c>
      <c r="AH69" s="283" t="str">
        <f t="shared" si="47"/>
        <v>FREI</v>
      </c>
      <c r="AI69" s="283" t="str">
        <f t="shared" si="47"/>
        <v>FREI</v>
      </c>
      <c r="AJ69" s="283" t="str">
        <f t="shared" si="47"/>
        <v/>
      </c>
      <c r="AK69" s="283" t="str">
        <f t="shared" si="47"/>
        <v/>
      </c>
      <c r="AL69" s="283" t="str">
        <f t="shared" si="47"/>
        <v/>
      </c>
      <c r="AM69" s="280"/>
      <c r="AN69" s="272"/>
    </row>
    <row r="70" spans="2:40" ht="12.75" hidden="1" customHeight="1" x14ac:dyDescent="0.2">
      <c r="B70" s="256"/>
      <c r="C70" s="257"/>
      <c r="D70" s="250"/>
      <c r="E70" s="250"/>
      <c r="F70" s="281"/>
      <c r="G70" s="278" t="s">
        <v>158</v>
      </c>
      <c r="H70" s="284" cm="1">
        <f t="array" ref="H70">IF(ISERROR(_xlfn.TEXTSPLIT(H69,,";",TRUE)),0,_xlfn.TEXTSPLIT(H69,,";",TRUE))</f>
        <v>0</v>
      </c>
      <c r="I70" s="284" cm="1">
        <f t="array" ref="I70">IF(ISERROR(_xlfn.TEXTSPLIT(I69,,";",TRUE)),0,_xlfn.TEXTSPLIT(I69,,";",TRUE))</f>
        <v>0</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cm="1">
        <f t="array" ref="O70">IF(ISERROR(_xlfn.TEXTSPLIT(O69,,";",TRUE)),0,_xlfn.TEXTSPLIT(O69,,";",TRUE))</f>
        <v>0</v>
      </c>
      <c r="P70" s="284" cm="1">
        <f t="array" ref="P70">IF(ISERROR(_xlfn.TEXTSPLIT(P69,,";",TRUE)),0,_xlfn.TEXTSPLIT(P69,,";",TRUE))</f>
        <v>0</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cm="1">
        <f t="array" ref="V70">IF(ISERROR(_xlfn.TEXTSPLIT(V69,,";",TRUE)),0,_xlfn.TEXTSPLIT(V69,,";",TRUE))</f>
        <v>0</v>
      </c>
      <c r="W70" s="284" cm="1">
        <f t="array" ref="W70">IF(ISERROR(_xlfn.TEXTSPLIT(W69,,";",TRUE)),0,_xlfn.TEXTSPLIT(W69,,";",TRUE))</f>
        <v>0</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cm="1">
        <f t="array" ref="AC70">IF(ISERROR(_xlfn.TEXTSPLIT(AC69,,";",TRUE)),0,_xlfn.TEXTSPLIT(AC69,,";",TRUE))</f>
        <v>0</v>
      </c>
      <c r="AD70" s="284" cm="1">
        <f t="array" ref="AD70">IF(ISERROR(_xlfn.TEXTSPLIT(AD69,,";",TRUE)),0,_xlfn.TEXTSPLIT(AD69,,";",TRUE))</f>
        <v>0</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cm="1">
        <f t="array" ref="AJ70">IF(ISERROR(_xlfn.TEXTSPLIT(AJ69,,";",TRUE)),0,_xlfn.TEXTSPLIT(AJ69,,";",TRUE))</f>
        <v>0</v>
      </c>
      <c r="AK70" s="284" cm="1">
        <f t="array" ref="AK70">IF(ISERROR(_xlfn.TEXTSPLIT(AK69,,";",TRUE)),0,_xlfn.TEXTSPLIT(AK69,,";",TRUE))</f>
        <v>0</v>
      </c>
      <c r="AL70" s="284" cm="1">
        <f t="array" ref="AL70">IF(ISERROR(_xlfn.TEXTSPLIT(AL69,,";",TRUE)),0,_xlfn.TEXTSPLIT(AL69,,";",TRUE))</f>
        <v>0</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-141.12</v>
      </c>
      <c r="I74" s="289">
        <f t="shared" ref="I74:AL74" si="49">H74+I26-I14</f>
        <v>-141.12</v>
      </c>
      <c r="J74" s="289">
        <f t="shared" si="49"/>
        <v>-147.84</v>
      </c>
      <c r="K74" s="289">
        <f t="shared" si="49"/>
        <v>-154.56</v>
      </c>
      <c r="L74" s="289">
        <f t="shared" si="49"/>
        <v>-161.28</v>
      </c>
      <c r="M74" s="289">
        <f t="shared" si="49"/>
        <v>-168</v>
      </c>
      <c r="N74" s="289">
        <f t="shared" si="49"/>
        <v>-174.72</v>
      </c>
      <c r="O74" s="289">
        <f t="shared" si="49"/>
        <v>-174.72</v>
      </c>
      <c r="P74" s="289">
        <f t="shared" si="49"/>
        <v>-174.72</v>
      </c>
      <c r="Q74" s="289">
        <f t="shared" si="49"/>
        <v>-181.44</v>
      </c>
      <c r="R74" s="289">
        <f t="shared" si="49"/>
        <v>-188.16</v>
      </c>
      <c r="S74" s="289">
        <f t="shared" si="49"/>
        <v>-194.88</v>
      </c>
      <c r="T74" s="289">
        <f t="shared" si="49"/>
        <v>-201.6</v>
      </c>
      <c r="U74" s="289">
        <f t="shared" si="49"/>
        <v>-208.32</v>
      </c>
      <c r="V74" s="289">
        <f t="shared" si="49"/>
        <v>-208.32</v>
      </c>
      <c r="W74" s="289">
        <f t="shared" si="49"/>
        <v>-208.32</v>
      </c>
      <c r="X74" s="289">
        <f t="shared" si="49"/>
        <v>-215.04</v>
      </c>
      <c r="Y74" s="289">
        <f t="shared" si="49"/>
        <v>-221.76</v>
      </c>
      <c r="Z74" s="289">
        <f t="shared" si="49"/>
        <v>-228.48</v>
      </c>
      <c r="AA74" s="289">
        <f t="shared" si="49"/>
        <v>-235.2</v>
      </c>
      <c r="AB74" s="289">
        <f t="shared" si="49"/>
        <v>-241.92</v>
      </c>
      <c r="AC74" s="289">
        <f t="shared" si="49"/>
        <v>-241.92</v>
      </c>
      <c r="AD74" s="289">
        <f t="shared" si="49"/>
        <v>-241.92</v>
      </c>
      <c r="AE74" s="289">
        <f t="shared" si="49"/>
        <v>-248.64</v>
      </c>
      <c r="AF74" s="289">
        <f t="shared" si="49"/>
        <v>-255.35999999999999</v>
      </c>
      <c r="AG74" s="289">
        <f t="shared" si="49"/>
        <v>-262.08</v>
      </c>
      <c r="AH74" s="289">
        <f t="shared" si="49"/>
        <v>-268.8</v>
      </c>
      <c r="AI74" s="289">
        <f t="shared" si="49"/>
        <v>-275.52000000000004</v>
      </c>
      <c r="AJ74" s="289">
        <f t="shared" si="49"/>
        <v>-275.52000000000004</v>
      </c>
      <c r="AK74" s="289">
        <f t="shared" si="49"/>
        <v>-275.52000000000004</v>
      </c>
      <c r="AL74" s="289">
        <f t="shared" si="49"/>
        <v>-275.52000000000004</v>
      </c>
      <c r="AM74" s="290">
        <f>AL74</f>
        <v>-275.52000000000004</v>
      </c>
    </row>
    <row r="75" spans="2:40" ht="12.75" customHeight="1" x14ac:dyDescent="0.2">
      <c r="B75" s="250"/>
      <c r="C75" s="11"/>
      <c r="D75" s="250"/>
      <c r="E75" s="250"/>
      <c r="F75" s="574"/>
      <c r="G75" s="203" t="s">
        <v>71</v>
      </c>
      <c r="H75" s="291">
        <f>H74/TaginSt</f>
        <v>-16.8</v>
      </c>
      <c r="I75" s="247">
        <f t="shared" ref="I75:AL75" si="50">I74/TaginSt</f>
        <v>-16.8</v>
      </c>
      <c r="J75" s="247">
        <f t="shared" si="50"/>
        <v>-17.600000000000001</v>
      </c>
      <c r="K75" s="247">
        <f t="shared" si="50"/>
        <v>-18.399999999999999</v>
      </c>
      <c r="L75" s="247">
        <f t="shared" si="50"/>
        <v>-19.2</v>
      </c>
      <c r="M75" s="247">
        <f t="shared" si="50"/>
        <v>-20</v>
      </c>
      <c r="N75" s="247">
        <f t="shared" si="50"/>
        <v>-20.8</v>
      </c>
      <c r="O75" s="247">
        <f t="shared" si="50"/>
        <v>-20.8</v>
      </c>
      <c r="P75" s="247">
        <f t="shared" si="50"/>
        <v>-20.8</v>
      </c>
      <c r="Q75" s="247">
        <f t="shared" si="50"/>
        <v>-21.599999999999998</v>
      </c>
      <c r="R75" s="247">
        <f t="shared" si="50"/>
        <v>-22.4</v>
      </c>
      <c r="S75" s="247">
        <f t="shared" si="50"/>
        <v>-23.2</v>
      </c>
      <c r="T75" s="247">
        <f t="shared" si="50"/>
        <v>-24</v>
      </c>
      <c r="U75" s="247">
        <f t="shared" si="50"/>
        <v>-24.799999999999997</v>
      </c>
      <c r="V75" s="247">
        <f t="shared" si="50"/>
        <v>-24.799999999999997</v>
      </c>
      <c r="W75" s="247">
        <f t="shared" si="50"/>
        <v>-24.799999999999997</v>
      </c>
      <c r="X75" s="247">
        <f t="shared" si="50"/>
        <v>-25.599999999999998</v>
      </c>
      <c r="Y75" s="247">
        <f t="shared" si="50"/>
        <v>-26.4</v>
      </c>
      <c r="Z75" s="247">
        <f t="shared" si="50"/>
        <v>-27.2</v>
      </c>
      <c r="AA75" s="247">
        <f t="shared" si="50"/>
        <v>-27.999999999999996</v>
      </c>
      <c r="AB75" s="247">
        <f t="shared" si="50"/>
        <v>-28.799999999999997</v>
      </c>
      <c r="AC75" s="247">
        <f t="shared" si="50"/>
        <v>-28.799999999999997</v>
      </c>
      <c r="AD75" s="247">
        <f t="shared" si="50"/>
        <v>-28.799999999999997</v>
      </c>
      <c r="AE75" s="247">
        <f t="shared" si="50"/>
        <v>-29.599999999999998</v>
      </c>
      <c r="AF75" s="247">
        <f t="shared" si="50"/>
        <v>-30.4</v>
      </c>
      <c r="AG75" s="247">
        <f t="shared" si="50"/>
        <v>-31.199999999999996</v>
      </c>
      <c r="AH75" s="247">
        <f t="shared" si="50"/>
        <v>-32</v>
      </c>
      <c r="AI75" s="247">
        <f t="shared" si="50"/>
        <v>-32.800000000000004</v>
      </c>
      <c r="AJ75" s="247">
        <f t="shared" si="50"/>
        <v>-32.800000000000004</v>
      </c>
      <c r="AK75" s="247">
        <f t="shared" si="50"/>
        <v>-32.800000000000004</v>
      </c>
      <c r="AL75" s="247">
        <f t="shared" si="50"/>
        <v>-32.800000000000004</v>
      </c>
      <c r="AM75" s="292">
        <f>AL75</f>
        <v>-32.800000000000004</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295"/>
      <c r="AL77" s="29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297"/>
      <c r="AL79" s="297"/>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297"/>
      <c r="AL80" s="297"/>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297"/>
      <c r="AL81" s="297"/>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297"/>
      <c r="AL82" s="297"/>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297"/>
      <c r="AL83" s="297"/>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297"/>
      <c r="AL84" s="297"/>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297"/>
      <c r="AL85" s="297"/>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297"/>
      <c r="AL86" s="297"/>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297"/>
      <c r="AL87" s="297"/>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297"/>
      <c r="AL88" s="297"/>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297"/>
      <c r="AL89" s="297"/>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297"/>
      <c r="AL90" s="297"/>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302"/>
      <c r="AL93" s="302"/>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6TfbwDB3rCTHBgyKqgW5sal/drfTxe9Dc4zvXgf0WEzqHE3VEdtSLVndz4Vp9klZzgE0XpUyba1LKgqoyGEe/A==" saltValue="rdfZH3FQ0f3mvt/Y4KaXzQ==" spinCount="100000" sheet="1" objects="1" scenarios="1"/>
  <mergeCells count="29">
    <mergeCell ref="AO42:AO53"/>
    <mergeCell ref="F42:F55"/>
    <mergeCell ref="F94:G94"/>
    <mergeCell ref="F88:G88"/>
    <mergeCell ref="F89:G89"/>
    <mergeCell ref="F90:G90"/>
    <mergeCell ref="F91:G91"/>
    <mergeCell ref="F92:G92"/>
    <mergeCell ref="F93:G93"/>
    <mergeCell ref="F78:G78"/>
    <mergeCell ref="F56:F68"/>
    <mergeCell ref="F74:F75"/>
    <mergeCell ref="D79:E91"/>
    <mergeCell ref="F79:G79"/>
    <mergeCell ref="F80:G80"/>
    <mergeCell ref="F81:G81"/>
    <mergeCell ref="F82:G82"/>
    <mergeCell ref="F83:G83"/>
    <mergeCell ref="F84:G84"/>
    <mergeCell ref="F85:G85"/>
    <mergeCell ref="F86:G86"/>
    <mergeCell ref="F87:G87"/>
    <mergeCell ref="F41:G41"/>
    <mergeCell ref="F14:F15"/>
    <mergeCell ref="B17:B18"/>
    <mergeCell ref="C17:C18"/>
    <mergeCell ref="F26:F28"/>
    <mergeCell ref="F30:F38"/>
    <mergeCell ref="F17:F24"/>
  </mergeCells>
  <conditionalFormatting sqref="H11:AL12">
    <cfRule type="expression" dxfId="122" priority="10">
      <formula>OR(WEEKDAY(H$12,2)=7,IF(ISERROR(VLOOKUP(H$12,Feiertagsanspruch,1,FALSE)),0,VLOOKUP(H$12,Feiertagsanspruch,1,FALSE)))</formula>
    </cfRule>
  </conditionalFormatting>
  <conditionalFormatting sqref="H17:AL24">
    <cfRule type="expression" dxfId="121" priority="2">
      <formula>OR(WEEKDAY(H$12,2)=7,IF(ISERROR(VLOOKUP(H$12,Feiertagsanspruch,1,FALSE)),0,VLOOKUP(H$12,Feiertagsanspruch,1,FALSE)))</formula>
    </cfRule>
    <cfRule type="expression" dxfId="120" priority="11">
      <formula>H$12=""</formula>
    </cfRule>
  </conditionalFormatting>
  <conditionalFormatting sqref="H30:AL32 H35:AL38">
    <cfRule type="expression" dxfId="119" priority="4">
      <formula>H$14=0</formula>
    </cfRule>
  </conditionalFormatting>
  <conditionalFormatting sqref="H33:AL34">
    <cfRule type="expression" dxfId="118" priority="1">
      <formula>H$9=0</formula>
    </cfRule>
  </conditionalFormatting>
  <conditionalFormatting sqref="H74:AL74">
    <cfRule type="cellIs" dxfId="117" priority="8" stopIfTrue="1" operator="lessThan">
      <formula>-20</formula>
    </cfRule>
    <cfRule type="cellIs" dxfId="116" priority="9" stopIfTrue="1" operator="greaterThan">
      <formula>50</formula>
    </cfRule>
  </conditionalFormatting>
  <conditionalFormatting sqref="H75:AL75">
    <cfRule type="cellIs" dxfId="115" priority="6" stopIfTrue="1" operator="lessThan">
      <formula>-2.38095238095238</formula>
    </cfRule>
    <cfRule type="cellIs" dxfId="114" priority="7" stopIfTrue="1" operator="greaterThan">
      <formula>5.95238095238095</formula>
    </cfRule>
  </conditionalFormatting>
  <dataValidations count="14">
    <dataValidation allowBlank="1" sqref="H29:AL29" xr:uid="{7143BEFF-309C-4BC1-B65A-33289C516B0C}"/>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3FDA206-CCE8-4F7C-B01D-4FE32B52725E}">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45678E70-F9CE-4DBA-B50A-C2B5907D852C}">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016DB5ED-D351-4709-8C05-45A4A12C1344}">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1E960792-6DAA-4DDC-9AB4-36C15C3E6B45}">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C768E92C-F20A-4602-8A61-382870DA177C}">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5A85D18-4DF2-44DA-97AF-EF392B5D07BE}">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ADD4524E-980A-416A-AEBA-4CE397044B23}">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A60FA317-2B7C-460E-AB24-E6753BD2BEAB}">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6B14A1E3-D52E-49D6-BA1C-CE3F7B1FB30A}">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A3C4F31B-780B-4AF2-90F9-EC847162111F}">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36C8AAFC-1E51-44C5-A8A6-616273FEB467}">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I34:AL34" xr:uid="{FAD11791-8F9C-48F5-8F2D-796C85DB894F}">
      <formula1>AND(I9&gt;0,I34&lt;=I5,I34&gt;0,SUM(I30:I38)&lt;=I5,COUNTA(I30:I38)&lt;=MaxAbwesenheitenproTag)</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 xr:uid="{4FB1CAC4-4975-41BD-8F74-751750BE96AE}">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2"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6B056E64-0847-448E-B744-6EABCAEE9714}">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3FD8-9603-4925-83D9-F3FB615E324F}">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0</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0</v>
      </c>
    </row>
    <row r="3" spans="2:39" hidden="1" x14ac:dyDescent="0.2">
      <c r="D3" s="166"/>
      <c r="E3" s="166"/>
      <c r="G3" s="167" t="s">
        <v>171</v>
      </c>
      <c r="H3" s="171">
        <f t="shared" ref="H3:AI3" si="2">IF(OR(WEEKDAY(H$12,2)=7,H1&gt;0),0,TaginSt-H14-H4)</f>
        <v>8.4</v>
      </c>
      <c r="I3" s="171">
        <f t="shared" si="2"/>
        <v>0</v>
      </c>
      <c r="J3" s="171">
        <f t="shared" si="2"/>
        <v>0</v>
      </c>
      <c r="K3" s="171">
        <f t="shared" si="2"/>
        <v>0</v>
      </c>
      <c r="L3" s="171">
        <f t="shared" si="2"/>
        <v>0</v>
      </c>
      <c r="M3" s="171">
        <f t="shared" si="2"/>
        <v>0</v>
      </c>
      <c r="N3" s="171">
        <f t="shared" si="2"/>
        <v>0</v>
      </c>
      <c r="O3" s="171">
        <f t="shared" si="2"/>
        <v>8.4</v>
      </c>
      <c r="P3" s="171">
        <f t="shared" si="2"/>
        <v>0</v>
      </c>
      <c r="Q3" s="171">
        <f t="shared" si="2"/>
        <v>0</v>
      </c>
      <c r="R3" s="171">
        <f t="shared" si="2"/>
        <v>0</v>
      </c>
      <c r="S3" s="171">
        <f t="shared" si="2"/>
        <v>0</v>
      </c>
      <c r="T3" s="171">
        <f t="shared" si="2"/>
        <v>0</v>
      </c>
      <c r="U3" s="171">
        <f t="shared" si="2"/>
        <v>0</v>
      </c>
      <c r="V3" s="171">
        <f t="shared" si="2"/>
        <v>8.4</v>
      </c>
      <c r="W3" s="171">
        <f t="shared" si="2"/>
        <v>0</v>
      </c>
      <c r="X3" s="171">
        <f t="shared" si="2"/>
        <v>0</v>
      </c>
      <c r="Y3" s="171">
        <f t="shared" si="2"/>
        <v>0</v>
      </c>
      <c r="Z3" s="171">
        <f t="shared" si="2"/>
        <v>0</v>
      </c>
      <c r="AA3" s="171">
        <f t="shared" si="2"/>
        <v>0</v>
      </c>
      <c r="AB3" s="171">
        <f t="shared" si="2"/>
        <v>0</v>
      </c>
      <c r="AC3" s="171">
        <f t="shared" si="2"/>
        <v>8.4</v>
      </c>
      <c r="AD3" s="171">
        <f t="shared" si="2"/>
        <v>0</v>
      </c>
      <c r="AE3" s="171">
        <f t="shared" si="2"/>
        <v>0</v>
      </c>
      <c r="AF3" s="171">
        <f t="shared" si="2"/>
        <v>0</v>
      </c>
      <c r="AG3" s="171">
        <f t="shared" si="2"/>
        <v>0</v>
      </c>
      <c r="AH3" s="171">
        <f t="shared" si="2"/>
        <v>0</v>
      </c>
      <c r="AI3" s="171">
        <f t="shared" si="2"/>
        <v>0</v>
      </c>
      <c r="AJ3" s="171">
        <f>IFERROR(IF(OR(WEEKDAY(AJ$12,2)=7,AJ1&gt;0),0,TaginSt-AJ14-AJ4),0)</f>
        <v>8.4</v>
      </c>
      <c r="AK3" s="171">
        <f>IFERROR(IF(OR(WEEKDAY(AK$12,2)=7,AK1&gt;0),0,TaginSt-AK14-AK4),0)</f>
        <v>0</v>
      </c>
      <c r="AL3" s="171">
        <f>IFERROR(IF(OR(WEEKDAY(AL$12,2)=7,AL1&gt;0),0,TaginSt-AL14-AL4),0)</f>
        <v>0</v>
      </c>
      <c r="AM3" s="170">
        <f>SUM(H3:AL3)</f>
        <v>42</v>
      </c>
    </row>
    <row r="4" spans="2:39" hidden="1" x14ac:dyDescent="0.2">
      <c r="D4" s="166"/>
      <c r="E4" s="166"/>
      <c r="G4" s="167" t="s">
        <v>172</v>
      </c>
      <c r="H4" s="171">
        <f t="shared" ref="H4:AL4" si="3">IF(H14=0,0,((TaginSt-H1)-H14))</f>
        <v>0</v>
      </c>
      <c r="I4" s="170">
        <f t="shared" si="3"/>
        <v>0</v>
      </c>
      <c r="J4" s="170">
        <f t="shared" si="3"/>
        <v>1.6800000000000006</v>
      </c>
      <c r="K4" s="170">
        <f t="shared" si="3"/>
        <v>1.6800000000000006</v>
      </c>
      <c r="L4" s="170">
        <f t="shared" si="3"/>
        <v>1.6800000000000006</v>
      </c>
      <c r="M4" s="170">
        <f t="shared" si="3"/>
        <v>1.6800000000000006</v>
      </c>
      <c r="N4" s="170">
        <f t="shared" si="3"/>
        <v>1.6800000000000006</v>
      </c>
      <c r="O4" s="170">
        <f t="shared" si="3"/>
        <v>0</v>
      </c>
      <c r="P4" s="170">
        <f t="shared" si="3"/>
        <v>0</v>
      </c>
      <c r="Q4" s="170">
        <f t="shared" si="3"/>
        <v>1.6800000000000006</v>
      </c>
      <c r="R4" s="170">
        <f t="shared" si="3"/>
        <v>1.6800000000000006</v>
      </c>
      <c r="S4" s="170">
        <f t="shared" si="3"/>
        <v>1.6800000000000006</v>
      </c>
      <c r="T4" s="170">
        <f t="shared" si="3"/>
        <v>1.6800000000000006</v>
      </c>
      <c r="U4" s="170">
        <f t="shared" si="3"/>
        <v>1.6800000000000006</v>
      </c>
      <c r="V4" s="170">
        <f t="shared" si="3"/>
        <v>0</v>
      </c>
      <c r="W4" s="170">
        <f t="shared" si="3"/>
        <v>0</v>
      </c>
      <c r="X4" s="170">
        <f t="shared" si="3"/>
        <v>1.6800000000000006</v>
      </c>
      <c r="Y4" s="170">
        <f t="shared" si="3"/>
        <v>1.6800000000000006</v>
      </c>
      <c r="Z4" s="170">
        <f t="shared" si="3"/>
        <v>1.6800000000000006</v>
      </c>
      <c r="AA4" s="170">
        <f t="shared" si="3"/>
        <v>1.6800000000000006</v>
      </c>
      <c r="AB4" s="170">
        <f t="shared" si="3"/>
        <v>1.6800000000000006</v>
      </c>
      <c r="AC4" s="170">
        <f t="shared" si="3"/>
        <v>0</v>
      </c>
      <c r="AD4" s="170">
        <f t="shared" si="3"/>
        <v>0</v>
      </c>
      <c r="AE4" s="170">
        <f t="shared" si="3"/>
        <v>1.6800000000000006</v>
      </c>
      <c r="AF4" s="170">
        <f t="shared" si="3"/>
        <v>1.6800000000000006</v>
      </c>
      <c r="AG4" s="170">
        <f t="shared" si="3"/>
        <v>1.6800000000000006</v>
      </c>
      <c r="AH4" s="170">
        <f t="shared" si="3"/>
        <v>1.6800000000000006</v>
      </c>
      <c r="AI4" s="170">
        <f t="shared" si="3"/>
        <v>1.6800000000000006</v>
      </c>
      <c r="AJ4" s="170">
        <f t="shared" si="3"/>
        <v>0</v>
      </c>
      <c r="AK4" s="170">
        <f t="shared" si="3"/>
        <v>0</v>
      </c>
      <c r="AL4" s="170">
        <f t="shared" si="3"/>
        <v>1.6800000000000006</v>
      </c>
      <c r="AM4" s="170">
        <f>SUM(H4:AL4)</f>
        <v>35.28</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1.25</v>
      </c>
      <c r="AM5" s="170"/>
    </row>
    <row r="6" spans="2:39" hidden="1" x14ac:dyDescent="0.2">
      <c r="D6" s="166"/>
      <c r="E6" s="166"/>
      <c r="F6" s="172" t="s">
        <v>7</v>
      </c>
      <c r="G6" s="173" t="s">
        <v>107</v>
      </c>
      <c r="H6" s="174">
        <f t="shared" ref="H6:AI6" si="5">IF(AND(H7=1,H9&gt;0,WEEKDAY(H12,2)&lt;6),(TaginSt-H1)/TaginSt,0)</f>
        <v>0</v>
      </c>
      <c r="I6" s="174">
        <f t="shared" si="5"/>
        <v>0</v>
      </c>
      <c r="J6" s="174">
        <f t="shared" si="5"/>
        <v>1</v>
      </c>
      <c r="K6" s="174">
        <f t="shared" si="5"/>
        <v>1</v>
      </c>
      <c r="L6" s="174">
        <f t="shared" si="5"/>
        <v>1</v>
      </c>
      <c r="M6" s="174">
        <f t="shared" si="5"/>
        <v>1</v>
      </c>
      <c r="N6" s="174">
        <f t="shared" si="5"/>
        <v>1</v>
      </c>
      <c r="O6" s="174">
        <f t="shared" si="5"/>
        <v>0</v>
      </c>
      <c r="P6" s="174">
        <f t="shared" si="5"/>
        <v>0</v>
      </c>
      <c r="Q6" s="174">
        <f t="shared" si="5"/>
        <v>1</v>
      </c>
      <c r="R6" s="174">
        <f t="shared" si="5"/>
        <v>1</v>
      </c>
      <c r="S6" s="174">
        <f t="shared" si="5"/>
        <v>1</v>
      </c>
      <c r="T6" s="174">
        <f t="shared" si="5"/>
        <v>1</v>
      </c>
      <c r="U6" s="174">
        <f t="shared" si="5"/>
        <v>1</v>
      </c>
      <c r="V6" s="174">
        <f t="shared" si="5"/>
        <v>0</v>
      </c>
      <c r="W6" s="174">
        <f t="shared" si="5"/>
        <v>0</v>
      </c>
      <c r="X6" s="174">
        <f t="shared" si="5"/>
        <v>1</v>
      </c>
      <c r="Y6" s="174">
        <f t="shared" si="5"/>
        <v>1</v>
      </c>
      <c r="Z6" s="174">
        <f t="shared" si="5"/>
        <v>1</v>
      </c>
      <c r="AA6" s="174">
        <f t="shared" si="5"/>
        <v>1</v>
      </c>
      <c r="AB6" s="174">
        <f t="shared" si="5"/>
        <v>1</v>
      </c>
      <c r="AC6" s="174">
        <f t="shared" si="5"/>
        <v>0</v>
      </c>
      <c r="AD6" s="174">
        <f t="shared" si="5"/>
        <v>0</v>
      </c>
      <c r="AE6" s="174">
        <f t="shared" si="5"/>
        <v>1</v>
      </c>
      <c r="AF6" s="174">
        <f t="shared" si="5"/>
        <v>1</v>
      </c>
      <c r="AG6" s="174">
        <f t="shared" si="5"/>
        <v>1</v>
      </c>
      <c r="AH6" s="174">
        <f t="shared" si="5"/>
        <v>1</v>
      </c>
      <c r="AI6" s="174">
        <f t="shared" si="5"/>
        <v>1</v>
      </c>
      <c r="AJ6" s="174">
        <f>IFERROR(IF(AND(AJ7=1,AJ9&gt;0,WEEKDAY(AJ12,2)&lt;6),(TaginSt-AJ1)/TaginSt,0),0)</f>
        <v>0</v>
      </c>
      <c r="AK6" s="174">
        <f>IFERROR(IF(AND(AK7=1,AK9&gt;0,WEEKDAY(AK12,2)&lt;6),(TaginSt-AK1)/TaginSt,0),0)</f>
        <v>0</v>
      </c>
      <c r="AL6" s="174">
        <f>IFERROR(IF(AND(AL7=1,AL9&gt;0,WEEKDAY(AL12,2)&lt;6),(TaginSt-AL1)/TaginSt,0),0)</f>
        <v>1</v>
      </c>
      <c r="AM6" s="175"/>
    </row>
    <row r="7" spans="2:39" hidden="1" x14ac:dyDescent="0.2">
      <c r="F7" s="176">
        <v>3</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80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März</v>
      </c>
      <c r="C11" s="184">
        <f>Jahr</f>
        <v>2025</v>
      </c>
      <c r="D11" s="166"/>
      <c r="E11" s="166"/>
      <c r="F11" s="185"/>
      <c r="G11" s="186"/>
      <c r="H11" s="187" t="str">
        <f>TEXT(H12,"TTT")</f>
        <v>Sa</v>
      </c>
      <c r="I11" s="188" t="str">
        <f>TEXT(I12,"TTT")</f>
        <v>So</v>
      </c>
      <c r="J11" s="188" t="str">
        <f t="shared" ref="J11:L11" si="8">TEXT(J12,"TTT")</f>
        <v>Mo</v>
      </c>
      <c r="K11" s="188" t="str">
        <f t="shared" si="8"/>
        <v>Di</v>
      </c>
      <c r="L11" s="188" t="str">
        <f t="shared" si="8"/>
        <v>Mi</v>
      </c>
      <c r="M11" s="188" t="str">
        <f>TEXT(M12,"TTT")</f>
        <v>Do</v>
      </c>
      <c r="N11" s="188" t="str">
        <f t="shared" ref="N11:AL11" si="9">TEXT(N12,"TTT")</f>
        <v>Fr</v>
      </c>
      <c r="O11" s="188" t="str">
        <f t="shared" si="9"/>
        <v>Sa</v>
      </c>
      <c r="P11" s="188" t="str">
        <f t="shared" si="9"/>
        <v>So</v>
      </c>
      <c r="Q11" s="188" t="str">
        <f t="shared" si="9"/>
        <v>Mo</v>
      </c>
      <c r="R11" s="188" t="str">
        <f t="shared" si="9"/>
        <v>Di</v>
      </c>
      <c r="S11" s="188" t="str">
        <f t="shared" si="9"/>
        <v>Mi</v>
      </c>
      <c r="T11" s="188" t="str">
        <f t="shared" si="9"/>
        <v>Do</v>
      </c>
      <c r="U11" s="188" t="str">
        <f t="shared" si="9"/>
        <v>Fr</v>
      </c>
      <c r="V11" s="188" t="str">
        <f t="shared" si="9"/>
        <v>Sa</v>
      </c>
      <c r="W11" s="188" t="str">
        <f t="shared" si="9"/>
        <v>So</v>
      </c>
      <c r="X11" s="188" t="str">
        <f t="shared" si="9"/>
        <v>Mo</v>
      </c>
      <c r="Y11" s="188" t="str">
        <f t="shared" si="9"/>
        <v>Di</v>
      </c>
      <c r="Z11" s="188" t="str">
        <f t="shared" si="9"/>
        <v>Mi</v>
      </c>
      <c r="AA11" s="188" t="str">
        <f t="shared" si="9"/>
        <v>Do</v>
      </c>
      <c r="AB11" s="188" t="str">
        <f t="shared" si="9"/>
        <v>Fr</v>
      </c>
      <c r="AC11" s="188" t="str">
        <f t="shared" si="9"/>
        <v>Sa</v>
      </c>
      <c r="AD11" s="188" t="str">
        <f t="shared" si="9"/>
        <v>So</v>
      </c>
      <c r="AE11" s="188" t="str">
        <f t="shared" si="9"/>
        <v>Mo</v>
      </c>
      <c r="AF11" s="188" t="str">
        <f t="shared" si="9"/>
        <v>Di</v>
      </c>
      <c r="AG11" s="188" t="str">
        <f t="shared" si="9"/>
        <v>Mi</v>
      </c>
      <c r="AH11" s="188" t="str">
        <f t="shared" si="9"/>
        <v>Do</v>
      </c>
      <c r="AI11" s="188" t="str">
        <f t="shared" si="9"/>
        <v>Fr</v>
      </c>
      <c r="AJ11" s="188" t="str">
        <f t="shared" si="9"/>
        <v>Sa</v>
      </c>
      <c r="AK11" s="188" t="str">
        <f t="shared" si="9"/>
        <v>So</v>
      </c>
      <c r="AL11" s="188" t="str">
        <f t="shared" si="9"/>
        <v>Mo</v>
      </c>
      <c r="AM11" s="188"/>
    </row>
    <row r="12" spans="2:39" ht="12.75" customHeight="1" thickBot="1" x14ac:dyDescent="0.25">
      <c r="B12" s="189" t="str">
        <f>Pfarrer</f>
        <v>Heinz Muster</v>
      </c>
      <c r="C12" s="190"/>
      <c r="D12" s="191"/>
      <c r="E12" s="191"/>
      <c r="F12" s="185"/>
      <c r="G12" s="192" t="s">
        <v>2</v>
      </c>
      <c r="H12" s="193">
        <f>DATE(C11,F7,1)</f>
        <v>44255</v>
      </c>
      <c r="I12" s="194">
        <f>DATE(C11,F7,2)</f>
        <v>44256</v>
      </c>
      <c r="J12" s="194">
        <f>DATE(C11,F7,3)</f>
        <v>44257</v>
      </c>
      <c r="K12" s="194">
        <f>DATE(C11,F7,4)</f>
        <v>44258</v>
      </c>
      <c r="L12" s="194">
        <f>DATE(C11,F7,5)</f>
        <v>44259</v>
      </c>
      <c r="M12" s="194">
        <f>DATE(C11,F7,6)</f>
        <v>44260</v>
      </c>
      <c r="N12" s="194">
        <f>DATE(C11,F7,7)</f>
        <v>44261</v>
      </c>
      <c r="O12" s="194">
        <f>DATE(C11,F7,8)</f>
        <v>44262</v>
      </c>
      <c r="P12" s="194">
        <f>DATE(C11,F7,9)</f>
        <v>44263</v>
      </c>
      <c r="Q12" s="194">
        <f>DATE(C11,F7,10)</f>
        <v>44264</v>
      </c>
      <c r="R12" s="194">
        <f>DATE(C11,F7,11)</f>
        <v>44265</v>
      </c>
      <c r="S12" s="194">
        <f>DATE(C11,F7,12)</f>
        <v>44266</v>
      </c>
      <c r="T12" s="194">
        <f>DATE(C11,F7,13)</f>
        <v>44267</v>
      </c>
      <c r="U12" s="194">
        <f>DATE(C11,F7,14)</f>
        <v>44268</v>
      </c>
      <c r="V12" s="194">
        <f>DATE(C11,F7,15)</f>
        <v>44269</v>
      </c>
      <c r="W12" s="194">
        <f>DATE(C11,F7,16)</f>
        <v>44270</v>
      </c>
      <c r="X12" s="194">
        <f>DATE(C11,F7,17)</f>
        <v>44271</v>
      </c>
      <c r="Y12" s="194">
        <f>DATE(C11,F7,18)</f>
        <v>44272</v>
      </c>
      <c r="Z12" s="194">
        <f>DATE(C11,F7,19)</f>
        <v>44273</v>
      </c>
      <c r="AA12" s="194">
        <f>DATE(C11,F7,20)</f>
        <v>44274</v>
      </c>
      <c r="AB12" s="194">
        <f>DATE(C11,F7,21)</f>
        <v>44275</v>
      </c>
      <c r="AC12" s="194">
        <f>DATE(C11,F7,22)</f>
        <v>44276</v>
      </c>
      <c r="AD12" s="194">
        <f>DATE(C11,F7,23)</f>
        <v>44277</v>
      </c>
      <c r="AE12" s="194">
        <f>DATE(C11,F7,24)</f>
        <v>44278</v>
      </c>
      <c r="AF12" s="194">
        <f>DATE(C11,F7,25)</f>
        <v>44279</v>
      </c>
      <c r="AG12" s="194">
        <f>DATE(C11,F7,26)</f>
        <v>44280</v>
      </c>
      <c r="AH12" s="194">
        <f>DATE(C11,F7,27)</f>
        <v>44281</v>
      </c>
      <c r="AI12" s="194">
        <f>DATE(C11,F7,28)</f>
        <v>44282</v>
      </c>
      <c r="AJ12" s="194">
        <f>IFERROR(IF(MONTH(AI12+1)=MONTH($H$12),AI$12+1,""),"")</f>
        <v>44283</v>
      </c>
      <c r="AK12" s="194">
        <f>IFERROR(IF(MONTH(AJ12+1)=MONTH($H$12),AJ$12+1,""),"")</f>
        <v>44284</v>
      </c>
      <c r="AL12" s="194">
        <f>IFERROR(IF(MONTH(AK12+1)=MONTH($H$12),AK$12+1,""),"")</f>
        <v>44285</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0</v>
      </c>
      <c r="I14" s="204">
        <f t="shared" si="10"/>
        <v>0</v>
      </c>
      <c r="J14" s="204">
        <f t="shared" si="10"/>
        <v>6.72</v>
      </c>
      <c r="K14" s="204">
        <f t="shared" si="10"/>
        <v>6.72</v>
      </c>
      <c r="L14" s="204">
        <f t="shared" si="10"/>
        <v>6.72</v>
      </c>
      <c r="M14" s="204">
        <f t="shared" si="10"/>
        <v>6.72</v>
      </c>
      <c r="N14" s="204">
        <f t="shared" si="10"/>
        <v>6.72</v>
      </c>
      <c r="O14" s="204">
        <f t="shared" si="10"/>
        <v>0</v>
      </c>
      <c r="P14" s="204">
        <f t="shared" si="10"/>
        <v>0</v>
      </c>
      <c r="Q14" s="204">
        <f t="shared" si="10"/>
        <v>6.72</v>
      </c>
      <c r="R14" s="204">
        <f t="shared" si="10"/>
        <v>6.72</v>
      </c>
      <c r="S14" s="204">
        <f t="shared" si="10"/>
        <v>6.72</v>
      </c>
      <c r="T14" s="204">
        <f t="shared" si="10"/>
        <v>6.72</v>
      </c>
      <c r="U14" s="204">
        <f t="shared" si="10"/>
        <v>6.72</v>
      </c>
      <c r="V14" s="204">
        <f t="shared" si="10"/>
        <v>0</v>
      </c>
      <c r="W14" s="204">
        <f t="shared" si="10"/>
        <v>0</v>
      </c>
      <c r="X14" s="204">
        <f t="shared" si="10"/>
        <v>6.72</v>
      </c>
      <c r="Y14" s="204">
        <f t="shared" si="10"/>
        <v>6.72</v>
      </c>
      <c r="Z14" s="204">
        <f t="shared" si="10"/>
        <v>6.72</v>
      </c>
      <c r="AA14" s="204">
        <f t="shared" si="10"/>
        <v>6.72</v>
      </c>
      <c r="AB14" s="204">
        <f t="shared" si="10"/>
        <v>6.72</v>
      </c>
      <c r="AC14" s="204">
        <f t="shared" si="10"/>
        <v>0</v>
      </c>
      <c r="AD14" s="204">
        <f t="shared" si="10"/>
        <v>0</v>
      </c>
      <c r="AE14" s="204">
        <f t="shared" si="10"/>
        <v>6.72</v>
      </c>
      <c r="AF14" s="204">
        <f t="shared" si="10"/>
        <v>6.72</v>
      </c>
      <c r="AG14" s="204">
        <f t="shared" si="10"/>
        <v>6.72</v>
      </c>
      <c r="AH14" s="204">
        <f t="shared" si="10"/>
        <v>6.72</v>
      </c>
      <c r="AI14" s="204">
        <f t="shared" si="10"/>
        <v>6.72</v>
      </c>
      <c r="AJ14" s="204">
        <f>IFERROR(IF(OR(WEEKDAY(AJ12,2)&gt;=6,AJ7=0),0,(TaginSt-AJ1)*AJ9/100),0)</f>
        <v>0</v>
      </c>
      <c r="AK14" s="204">
        <f>IFERROR(IF(OR(WEEKDAY(AK12,2)&gt;=6,AK7=0),0,(TaginSt-AK1)*AK9/100),0)</f>
        <v>0</v>
      </c>
      <c r="AL14" s="204">
        <f>IFERROR(IF(OR(WEEKDAY(AL12,2)&gt;=6,AL7=0),0,(TaginSt-AL1)*AL9/100),0)</f>
        <v>6.72</v>
      </c>
      <c r="AM14" s="205">
        <f>SUM(H14:AL14)</f>
        <v>141.12</v>
      </c>
    </row>
    <row r="15" spans="2:39" ht="12.75" customHeight="1" x14ac:dyDescent="0.2">
      <c r="D15" s="202"/>
      <c r="E15" s="202"/>
      <c r="F15" s="566"/>
      <c r="G15" s="203" t="s">
        <v>136</v>
      </c>
      <c r="H15" s="204">
        <f t="shared" ref="H15:AL15" si="11">H14/TaginSt</f>
        <v>0</v>
      </c>
      <c r="I15" s="206">
        <f t="shared" si="11"/>
        <v>0</v>
      </c>
      <c r="J15" s="206">
        <f t="shared" si="11"/>
        <v>0.79999999999999993</v>
      </c>
      <c r="K15" s="206">
        <f t="shared" si="11"/>
        <v>0.79999999999999993</v>
      </c>
      <c r="L15" s="206">
        <f t="shared" si="11"/>
        <v>0.79999999999999993</v>
      </c>
      <c r="M15" s="206">
        <f t="shared" si="11"/>
        <v>0.79999999999999993</v>
      </c>
      <c r="N15" s="206">
        <f t="shared" si="11"/>
        <v>0.79999999999999993</v>
      </c>
      <c r="O15" s="206">
        <f t="shared" si="11"/>
        <v>0</v>
      </c>
      <c r="P15" s="206">
        <f t="shared" si="11"/>
        <v>0</v>
      </c>
      <c r="Q15" s="206">
        <f t="shared" si="11"/>
        <v>0.79999999999999993</v>
      </c>
      <c r="R15" s="206">
        <f t="shared" si="11"/>
        <v>0.79999999999999993</v>
      </c>
      <c r="S15" s="206">
        <f t="shared" si="11"/>
        <v>0.79999999999999993</v>
      </c>
      <c r="T15" s="206">
        <f t="shared" si="11"/>
        <v>0.79999999999999993</v>
      </c>
      <c r="U15" s="206">
        <f t="shared" si="11"/>
        <v>0.79999999999999993</v>
      </c>
      <c r="V15" s="206">
        <f t="shared" si="11"/>
        <v>0</v>
      </c>
      <c r="W15" s="206">
        <f t="shared" si="11"/>
        <v>0</v>
      </c>
      <c r="X15" s="206">
        <f t="shared" si="11"/>
        <v>0.79999999999999993</v>
      </c>
      <c r="Y15" s="206">
        <f t="shared" si="11"/>
        <v>0.79999999999999993</v>
      </c>
      <c r="Z15" s="206">
        <f t="shared" si="11"/>
        <v>0.79999999999999993</v>
      </c>
      <c r="AA15" s="206">
        <f t="shared" si="11"/>
        <v>0.79999999999999993</v>
      </c>
      <c r="AB15" s="206">
        <f t="shared" si="11"/>
        <v>0.79999999999999993</v>
      </c>
      <c r="AC15" s="206">
        <f t="shared" si="11"/>
        <v>0</v>
      </c>
      <c r="AD15" s="206">
        <f t="shared" si="11"/>
        <v>0</v>
      </c>
      <c r="AE15" s="206">
        <f t="shared" si="11"/>
        <v>0.79999999999999993</v>
      </c>
      <c r="AF15" s="206">
        <f t="shared" si="11"/>
        <v>0.79999999999999993</v>
      </c>
      <c r="AG15" s="206">
        <f t="shared" si="11"/>
        <v>0.79999999999999993</v>
      </c>
      <c r="AH15" s="206">
        <f t="shared" si="11"/>
        <v>0.79999999999999993</v>
      </c>
      <c r="AI15" s="206">
        <f t="shared" si="11"/>
        <v>0.79999999999999993</v>
      </c>
      <c r="AJ15" s="206">
        <f t="shared" si="11"/>
        <v>0</v>
      </c>
      <c r="AK15" s="206">
        <f t="shared" si="11"/>
        <v>0</v>
      </c>
      <c r="AL15" s="206">
        <f t="shared" si="11"/>
        <v>0.79999999999999993</v>
      </c>
      <c r="AM15" s="205">
        <f>SUM(H15:AL15)</f>
        <v>16.800000000000004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SaldoStdEndeFeb</f>
        <v>-275.52000000000004</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Feb!C23-AM42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Feb!C27-AM50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1</v>
      </c>
      <c r="I39" s="263">
        <f t="shared" si="16"/>
        <v>0</v>
      </c>
      <c r="J39" s="263">
        <f t="shared" si="16"/>
        <v>0</v>
      </c>
      <c r="K39" s="263">
        <f t="shared" si="16"/>
        <v>0</v>
      </c>
      <c r="L39" s="263">
        <f>IF(ISERROR(L51/TaginSt),0,L51/TaginSt)</f>
        <v>0</v>
      </c>
      <c r="M39" s="263">
        <f t="shared" si="16"/>
        <v>0</v>
      </c>
      <c r="N39" s="263">
        <f t="shared" si="16"/>
        <v>0</v>
      </c>
      <c r="O39" s="263">
        <f t="shared" si="16"/>
        <v>1</v>
      </c>
      <c r="P39" s="263">
        <f t="shared" si="16"/>
        <v>0</v>
      </c>
      <c r="Q39" s="263">
        <f t="shared" si="16"/>
        <v>0</v>
      </c>
      <c r="R39" s="263">
        <f t="shared" si="16"/>
        <v>0</v>
      </c>
      <c r="S39" s="263">
        <f t="shared" si="16"/>
        <v>0</v>
      </c>
      <c r="T39" s="263">
        <f t="shared" si="16"/>
        <v>0</v>
      </c>
      <c r="U39" s="263">
        <f t="shared" si="16"/>
        <v>0</v>
      </c>
      <c r="V39" s="263">
        <f t="shared" si="16"/>
        <v>1</v>
      </c>
      <c r="W39" s="263">
        <f t="shared" si="16"/>
        <v>0</v>
      </c>
      <c r="X39" s="263">
        <f t="shared" si="16"/>
        <v>0</v>
      </c>
      <c r="Y39" s="263">
        <f t="shared" si="16"/>
        <v>0</v>
      </c>
      <c r="Z39" s="263">
        <f t="shared" si="16"/>
        <v>0</v>
      </c>
      <c r="AA39" s="263">
        <f t="shared" si="16"/>
        <v>0</v>
      </c>
      <c r="AB39" s="263">
        <f t="shared" si="16"/>
        <v>0</v>
      </c>
      <c r="AC39" s="263">
        <f t="shared" si="16"/>
        <v>1</v>
      </c>
      <c r="AD39" s="263">
        <f t="shared" si="16"/>
        <v>0</v>
      </c>
      <c r="AE39" s="263">
        <f t="shared" si="16"/>
        <v>0</v>
      </c>
      <c r="AF39" s="263">
        <f t="shared" si="16"/>
        <v>0</v>
      </c>
      <c r="AG39" s="263">
        <f t="shared" si="16"/>
        <v>0</v>
      </c>
      <c r="AH39" s="263">
        <f t="shared" si="16"/>
        <v>0</v>
      </c>
      <c r="AI39" s="263">
        <f t="shared" si="16"/>
        <v>0</v>
      </c>
      <c r="AJ39" s="263">
        <f t="shared" si="16"/>
        <v>1</v>
      </c>
      <c r="AK39" s="263">
        <f t="shared" si="16"/>
        <v>0</v>
      </c>
      <c r="AL39" s="263">
        <f t="shared" si="16"/>
        <v>0</v>
      </c>
      <c r="AM39" s="264">
        <f>SUM(H39:AL39)</f>
        <v>5</v>
      </c>
      <c r="AN39" s="265"/>
    </row>
    <row r="40" spans="2:43" ht="12.75" customHeight="1" x14ac:dyDescent="0.2">
      <c r="D40" s="250"/>
      <c r="E40" s="250"/>
      <c r="F40" s="459" t="s">
        <v>267</v>
      </c>
      <c r="G40" s="266" t="s">
        <v>188</v>
      </c>
      <c r="H40" s="263">
        <f t="shared" si="16"/>
        <v>0</v>
      </c>
      <c r="I40" s="263">
        <f t="shared" si="16"/>
        <v>0</v>
      </c>
      <c r="J40" s="263">
        <f>IF(ISERROR(J52/TaginSt),0,J52/TaginSt)</f>
        <v>1</v>
      </c>
      <c r="K40" s="263">
        <f t="shared" si="16"/>
        <v>1</v>
      </c>
      <c r="L40" s="263">
        <f t="shared" si="16"/>
        <v>1</v>
      </c>
      <c r="M40" s="263">
        <f t="shared" si="16"/>
        <v>1</v>
      </c>
      <c r="N40" s="263">
        <f t="shared" si="16"/>
        <v>1</v>
      </c>
      <c r="O40" s="263">
        <f t="shared" si="16"/>
        <v>0</v>
      </c>
      <c r="P40" s="263">
        <f t="shared" si="16"/>
        <v>0</v>
      </c>
      <c r="Q40" s="263">
        <f t="shared" si="16"/>
        <v>1</v>
      </c>
      <c r="R40" s="263">
        <f t="shared" si="16"/>
        <v>1</v>
      </c>
      <c r="S40" s="263">
        <f t="shared" si="16"/>
        <v>1</v>
      </c>
      <c r="T40" s="263">
        <f t="shared" si="16"/>
        <v>1</v>
      </c>
      <c r="U40" s="263">
        <f t="shared" si="16"/>
        <v>1</v>
      </c>
      <c r="V40" s="263">
        <f t="shared" si="16"/>
        <v>0</v>
      </c>
      <c r="W40" s="263">
        <f t="shared" si="16"/>
        <v>0</v>
      </c>
      <c r="X40" s="263">
        <f t="shared" si="16"/>
        <v>1</v>
      </c>
      <c r="Y40" s="263">
        <f t="shared" si="16"/>
        <v>1</v>
      </c>
      <c r="Z40" s="263">
        <f t="shared" si="16"/>
        <v>1</v>
      </c>
      <c r="AA40" s="263">
        <f t="shared" si="16"/>
        <v>1</v>
      </c>
      <c r="AB40" s="263">
        <f t="shared" si="16"/>
        <v>1</v>
      </c>
      <c r="AC40" s="263">
        <f t="shared" si="16"/>
        <v>0</v>
      </c>
      <c r="AD40" s="263">
        <f t="shared" si="16"/>
        <v>0</v>
      </c>
      <c r="AE40" s="263">
        <f t="shared" si="16"/>
        <v>1</v>
      </c>
      <c r="AF40" s="263">
        <f t="shared" si="16"/>
        <v>1</v>
      </c>
      <c r="AG40" s="263">
        <f t="shared" si="16"/>
        <v>1</v>
      </c>
      <c r="AH40" s="263">
        <f t="shared" si="16"/>
        <v>1</v>
      </c>
      <c r="AI40" s="263">
        <f t="shared" si="16"/>
        <v>1</v>
      </c>
      <c r="AJ40" s="263">
        <f t="shared" si="16"/>
        <v>0</v>
      </c>
      <c r="AK40" s="263">
        <f t="shared" si="16"/>
        <v>0</v>
      </c>
      <c r="AL40" s="263">
        <f t="shared" si="16"/>
        <v>1</v>
      </c>
      <c r="AM40" s="264">
        <f>SUM(H40:AL40)</f>
        <v>21</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8.4</v>
      </c>
      <c r="I51" s="270">
        <f t="shared" si="29"/>
        <v>0</v>
      </c>
      <c r="J51" s="270">
        <f t="shared" si="29"/>
        <v>0</v>
      </c>
      <c r="K51" s="270">
        <f t="shared" si="29"/>
        <v>0</v>
      </c>
      <c r="L51" s="270">
        <f t="shared" si="29"/>
        <v>0</v>
      </c>
      <c r="M51" s="270">
        <f t="shared" si="29"/>
        <v>0</v>
      </c>
      <c r="N51" s="270">
        <f t="shared" si="29"/>
        <v>0</v>
      </c>
      <c r="O51" s="270">
        <f t="shared" si="29"/>
        <v>8.4</v>
      </c>
      <c r="P51" s="270">
        <f t="shared" si="29"/>
        <v>0</v>
      </c>
      <c r="Q51" s="270">
        <f t="shared" si="29"/>
        <v>0</v>
      </c>
      <c r="R51" s="270">
        <f t="shared" si="29"/>
        <v>0</v>
      </c>
      <c r="S51" s="270">
        <f t="shared" si="29"/>
        <v>0</v>
      </c>
      <c r="T51" s="270">
        <f t="shared" si="29"/>
        <v>0</v>
      </c>
      <c r="U51" s="270">
        <f t="shared" si="29"/>
        <v>0</v>
      </c>
      <c r="V51" s="270">
        <f t="shared" si="29"/>
        <v>8.4</v>
      </c>
      <c r="W51" s="270">
        <f t="shared" si="29"/>
        <v>0</v>
      </c>
      <c r="X51" s="270">
        <f t="shared" si="29"/>
        <v>0</v>
      </c>
      <c r="Y51" s="270">
        <f t="shared" si="29"/>
        <v>0</v>
      </c>
      <c r="Z51" s="270">
        <f t="shared" si="29"/>
        <v>0</v>
      </c>
      <c r="AA51" s="270">
        <f t="shared" si="29"/>
        <v>0</v>
      </c>
      <c r="AB51" s="270">
        <f t="shared" si="29"/>
        <v>0</v>
      </c>
      <c r="AC51" s="270">
        <f t="shared" si="29"/>
        <v>8.4</v>
      </c>
      <c r="AD51" s="270">
        <f t="shared" si="29"/>
        <v>0</v>
      </c>
      <c r="AE51" s="270">
        <f t="shared" si="29"/>
        <v>0</v>
      </c>
      <c r="AF51" s="270">
        <f t="shared" si="29"/>
        <v>0</v>
      </c>
      <c r="AG51" s="270">
        <f t="shared" si="29"/>
        <v>0</v>
      </c>
      <c r="AH51" s="270">
        <f t="shared" si="29"/>
        <v>0</v>
      </c>
      <c r="AI51" s="270">
        <f t="shared" si="29"/>
        <v>0</v>
      </c>
      <c r="AJ51" s="270">
        <f>IFERROR(IF(OR(AJ3&gt;0,AND(AJ9=100,OR(WEEKDAY(AJ12,2)&lt;7,AJ1&gt;0))),AJ3+AJ14-AJ26,0),"")</f>
        <v>8.4</v>
      </c>
      <c r="AK51" s="270">
        <f>IFERROR(IF(OR(AK3&gt;0,AND(AK9=100,OR(WEEKDAY(AK12,2)&lt;7,AK1&gt;0))),AK3+AK14-AK26,0),"")</f>
        <v>0</v>
      </c>
      <c r="AL51" s="270">
        <f>IFERROR(IF(OR(AL3&gt;0,AND(AL9=100,OR(WEEKDAY(AL12,2)&lt;7,AL1&gt;0))),AL3+AL14-AL26,0),"")</f>
        <v>0</v>
      </c>
      <c r="AM51" s="271">
        <f t="shared" si="20"/>
        <v>42</v>
      </c>
      <c r="AN51" s="272"/>
      <c r="AO51" s="562"/>
    </row>
    <row r="52" spans="2:41" ht="12.75" hidden="1" customHeight="1" x14ac:dyDescent="0.2">
      <c r="B52" s="256"/>
      <c r="C52" s="257"/>
      <c r="D52" s="250"/>
      <c r="E52" s="250"/>
      <c r="F52" s="564"/>
      <c r="G52" s="269" t="s">
        <v>170</v>
      </c>
      <c r="H52" s="270">
        <f t="shared" ref="H52:AI52" si="30">IF(H4&gt;0,IF(AND(H1&gt;0,H14+H4-H26&lt;=H4),H4,H14+H4-H26),0)</f>
        <v>0</v>
      </c>
      <c r="I52" s="270">
        <f t="shared" si="30"/>
        <v>0</v>
      </c>
      <c r="J52" s="270">
        <f t="shared" si="30"/>
        <v>8.4</v>
      </c>
      <c r="K52" s="270">
        <f t="shared" si="30"/>
        <v>8.4</v>
      </c>
      <c r="L52" s="270">
        <f t="shared" si="30"/>
        <v>8.4</v>
      </c>
      <c r="M52" s="270">
        <f t="shared" si="30"/>
        <v>8.4</v>
      </c>
      <c r="N52" s="270">
        <f t="shared" si="30"/>
        <v>8.4</v>
      </c>
      <c r="O52" s="270">
        <f t="shared" si="30"/>
        <v>0</v>
      </c>
      <c r="P52" s="270">
        <f t="shared" si="30"/>
        <v>0</v>
      </c>
      <c r="Q52" s="270">
        <f t="shared" si="30"/>
        <v>8.4</v>
      </c>
      <c r="R52" s="270">
        <f t="shared" si="30"/>
        <v>8.4</v>
      </c>
      <c r="S52" s="270">
        <f t="shared" si="30"/>
        <v>8.4</v>
      </c>
      <c r="T52" s="270">
        <f t="shared" si="30"/>
        <v>8.4</v>
      </c>
      <c r="U52" s="270">
        <f t="shared" si="30"/>
        <v>8.4</v>
      </c>
      <c r="V52" s="270">
        <f t="shared" si="30"/>
        <v>0</v>
      </c>
      <c r="W52" s="270">
        <f t="shared" si="30"/>
        <v>0</v>
      </c>
      <c r="X52" s="270">
        <f t="shared" si="30"/>
        <v>8.4</v>
      </c>
      <c r="Y52" s="270">
        <f t="shared" si="30"/>
        <v>8.4</v>
      </c>
      <c r="Z52" s="270">
        <f t="shared" si="30"/>
        <v>8.4</v>
      </c>
      <c r="AA52" s="270">
        <f t="shared" si="30"/>
        <v>8.4</v>
      </c>
      <c r="AB52" s="270">
        <f t="shared" si="30"/>
        <v>8.4</v>
      </c>
      <c r="AC52" s="270">
        <f t="shared" si="30"/>
        <v>0</v>
      </c>
      <c r="AD52" s="270">
        <f t="shared" si="30"/>
        <v>0</v>
      </c>
      <c r="AE52" s="270">
        <f t="shared" si="30"/>
        <v>8.4</v>
      </c>
      <c r="AF52" s="270">
        <f t="shared" si="30"/>
        <v>8.4</v>
      </c>
      <c r="AG52" s="270">
        <f t="shared" si="30"/>
        <v>8.4</v>
      </c>
      <c r="AH52" s="270">
        <f t="shared" si="30"/>
        <v>8.4</v>
      </c>
      <c r="AI52" s="270">
        <f t="shared" si="30"/>
        <v>8.4</v>
      </c>
      <c r="AJ52" s="270">
        <f>IFERROR(IF(AJ4&gt;0,IF(AND(AJ1&gt;0,AJ14+AJ4-AJ26&lt;=AJ4),AJ4,AJ14+AJ4-AJ26),0),"")</f>
        <v>0</v>
      </c>
      <c r="AK52" s="270">
        <f>IFERROR(IF(AK4&gt;0,IF(AND(AK1&gt;0,AK14+AK4-AK26&lt;=AK4),AK4,AK14+AK4-AK26),0),"")</f>
        <v>0</v>
      </c>
      <c r="AL52" s="270">
        <f>IFERROR(IF(AL4&gt;0,IF(AND(AL1&gt;0,AL14+AL4-AL26&lt;=AL4),AL4,AL14+AL4-AL26),0),"")</f>
        <v>8.4</v>
      </c>
      <c r="AM52" s="271">
        <f t="shared" si="20"/>
        <v>176.40000000000006</v>
      </c>
      <c r="AN52" s="272"/>
      <c r="AO52" s="562"/>
    </row>
    <row r="53" spans="2:41" ht="12.75" hidden="1" customHeight="1" x14ac:dyDescent="0.2">
      <c r="B53" s="256"/>
      <c r="C53" s="257"/>
      <c r="D53" s="250"/>
      <c r="E53" s="250"/>
      <c r="F53" s="564"/>
      <c r="G53" s="275" t="s">
        <v>173</v>
      </c>
      <c r="H53" s="270">
        <f>IFERROR(H51+H52,"")</f>
        <v>8.4</v>
      </c>
      <c r="I53" s="270">
        <f t="shared" ref="I53:AL53" si="31">IFERROR(I51+I52,"")</f>
        <v>0</v>
      </c>
      <c r="J53" s="270">
        <f t="shared" si="31"/>
        <v>8.4</v>
      </c>
      <c r="K53" s="270">
        <f t="shared" si="31"/>
        <v>8.4</v>
      </c>
      <c r="L53" s="270">
        <f t="shared" si="31"/>
        <v>8.4</v>
      </c>
      <c r="M53" s="270">
        <f t="shared" si="31"/>
        <v>8.4</v>
      </c>
      <c r="N53" s="270">
        <f t="shared" si="31"/>
        <v>8.4</v>
      </c>
      <c r="O53" s="270">
        <f t="shared" si="31"/>
        <v>8.4</v>
      </c>
      <c r="P53" s="270">
        <f t="shared" si="31"/>
        <v>0</v>
      </c>
      <c r="Q53" s="270">
        <f t="shared" si="31"/>
        <v>8.4</v>
      </c>
      <c r="R53" s="270">
        <f t="shared" si="31"/>
        <v>8.4</v>
      </c>
      <c r="S53" s="270">
        <f t="shared" si="31"/>
        <v>8.4</v>
      </c>
      <c r="T53" s="270">
        <f t="shared" si="31"/>
        <v>8.4</v>
      </c>
      <c r="U53" s="270">
        <f t="shared" si="31"/>
        <v>8.4</v>
      </c>
      <c r="V53" s="270">
        <f t="shared" si="31"/>
        <v>8.4</v>
      </c>
      <c r="W53" s="270">
        <f t="shared" si="31"/>
        <v>0</v>
      </c>
      <c r="X53" s="270">
        <f t="shared" si="31"/>
        <v>8.4</v>
      </c>
      <c r="Y53" s="270">
        <f t="shared" si="31"/>
        <v>8.4</v>
      </c>
      <c r="Z53" s="270">
        <f t="shared" si="31"/>
        <v>8.4</v>
      </c>
      <c r="AA53" s="270">
        <f t="shared" si="31"/>
        <v>8.4</v>
      </c>
      <c r="AB53" s="270">
        <f t="shared" si="31"/>
        <v>8.4</v>
      </c>
      <c r="AC53" s="270">
        <f t="shared" si="31"/>
        <v>8.4</v>
      </c>
      <c r="AD53" s="270">
        <f t="shared" si="31"/>
        <v>0</v>
      </c>
      <c r="AE53" s="270">
        <f t="shared" si="31"/>
        <v>8.4</v>
      </c>
      <c r="AF53" s="270">
        <f t="shared" si="31"/>
        <v>8.4</v>
      </c>
      <c r="AG53" s="270">
        <f t="shared" si="31"/>
        <v>8.4</v>
      </c>
      <c r="AH53" s="270">
        <f t="shared" si="31"/>
        <v>8.4</v>
      </c>
      <c r="AI53" s="270">
        <f t="shared" si="31"/>
        <v>8.4</v>
      </c>
      <c r="AJ53" s="270">
        <f t="shared" si="31"/>
        <v>8.4</v>
      </c>
      <c r="AK53" s="270">
        <f t="shared" si="31"/>
        <v>0</v>
      </c>
      <c r="AL53" s="270">
        <f t="shared" si="31"/>
        <v>8.4</v>
      </c>
      <c r="AM53" s="271">
        <f t="shared" si="20"/>
        <v>218.40000000000009</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0</v>
      </c>
      <c r="I55" s="270">
        <f t="shared" si="33"/>
        <v>0</v>
      </c>
      <c r="J55" s="270">
        <f t="shared" si="33"/>
        <v>6.72</v>
      </c>
      <c r="K55" s="270">
        <f t="shared" si="33"/>
        <v>6.72</v>
      </c>
      <c r="L55" s="270">
        <f t="shared" si="33"/>
        <v>6.72</v>
      </c>
      <c r="M55" s="270">
        <f t="shared" si="33"/>
        <v>6.72</v>
      </c>
      <c r="N55" s="270">
        <f t="shared" si="33"/>
        <v>6.72</v>
      </c>
      <c r="O55" s="270">
        <f t="shared" si="33"/>
        <v>0</v>
      </c>
      <c r="P55" s="270">
        <f t="shared" si="33"/>
        <v>0</v>
      </c>
      <c r="Q55" s="270">
        <f t="shared" si="33"/>
        <v>6.72</v>
      </c>
      <c r="R55" s="270">
        <f t="shared" si="33"/>
        <v>6.72</v>
      </c>
      <c r="S55" s="270">
        <f t="shared" si="33"/>
        <v>6.72</v>
      </c>
      <c r="T55" s="270">
        <f t="shared" si="33"/>
        <v>6.72</v>
      </c>
      <c r="U55" s="270">
        <f t="shared" si="33"/>
        <v>6.72</v>
      </c>
      <c r="V55" s="270">
        <f t="shared" si="33"/>
        <v>0</v>
      </c>
      <c r="W55" s="270">
        <f t="shared" si="33"/>
        <v>0</v>
      </c>
      <c r="X55" s="270">
        <f t="shared" si="33"/>
        <v>6.72</v>
      </c>
      <c r="Y55" s="270">
        <f t="shared" si="33"/>
        <v>6.72</v>
      </c>
      <c r="Z55" s="270">
        <f t="shared" si="33"/>
        <v>6.72</v>
      </c>
      <c r="AA55" s="270">
        <f t="shared" si="33"/>
        <v>6.72</v>
      </c>
      <c r="AB55" s="270">
        <f t="shared" si="33"/>
        <v>6.72</v>
      </c>
      <c r="AC55" s="270">
        <f t="shared" si="33"/>
        <v>0</v>
      </c>
      <c r="AD55" s="270">
        <f t="shared" si="33"/>
        <v>0</v>
      </c>
      <c r="AE55" s="270">
        <f t="shared" si="33"/>
        <v>6.72</v>
      </c>
      <c r="AF55" s="270">
        <f t="shared" si="33"/>
        <v>6.72</v>
      </c>
      <c r="AG55" s="270">
        <f t="shared" si="33"/>
        <v>6.72</v>
      </c>
      <c r="AH55" s="270">
        <f t="shared" si="33"/>
        <v>6.72</v>
      </c>
      <c r="AI55" s="270">
        <f t="shared" si="33"/>
        <v>6.72</v>
      </c>
      <c r="AJ55" s="270">
        <f t="shared" si="33"/>
        <v>0</v>
      </c>
      <c r="AK55" s="270">
        <f t="shared" si="33"/>
        <v>0</v>
      </c>
      <c r="AL55" s="270">
        <f t="shared" si="33"/>
        <v>6.72</v>
      </c>
      <c r="AM55" s="271">
        <f t="shared" si="20"/>
        <v>141.12</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
      </c>
      <c r="J66" s="279" t="str">
        <f t="shared" si="44"/>
        <v>8,4 TZ/FR</v>
      </c>
      <c r="K66" s="279" t="str">
        <f t="shared" si="44"/>
        <v>8,4 TZ/FR</v>
      </c>
      <c r="L66" s="279" t="str">
        <f t="shared" si="44"/>
        <v>8,4 TZ/FR</v>
      </c>
      <c r="M66" s="279" t="str">
        <f t="shared" si="44"/>
        <v>8,4 TZ/FR</v>
      </c>
      <c r="N66" s="279" t="str">
        <f t="shared" si="44"/>
        <v>8,4 TZ/FR</v>
      </c>
      <c r="O66" s="279" t="str">
        <f t="shared" si="44"/>
        <v>8,4 TZ/FR</v>
      </c>
      <c r="P66" s="279" t="str">
        <f t="shared" si="44"/>
        <v/>
      </c>
      <c r="Q66" s="279" t="str">
        <f t="shared" si="44"/>
        <v>8,4 TZ/FR</v>
      </c>
      <c r="R66" s="279" t="str">
        <f t="shared" si="44"/>
        <v>8,4 TZ/FR</v>
      </c>
      <c r="S66" s="279" t="str">
        <f t="shared" si="44"/>
        <v>8,4 TZ/FR</v>
      </c>
      <c r="T66" s="279" t="str">
        <f t="shared" si="44"/>
        <v>8,4 TZ/FR</v>
      </c>
      <c r="U66" s="279" t="str">
        <f t="shared" si="44"/>
        <v>8,4 TZ/FR</v>
      </c>
      <c r="V66" s="279" t="str">
        <f t="shared" si="44"/>
        <v>8,4 TZ/FR</v>
      </c>
      <c r="W66" s="279" t="str">
        <f t="shared" si="44"/>
        <v/>
      </c>
      <c r="X66" s="279" t="str">
        <f t="shared" si="44"/>
        <v>8,4 TZ/FR</v>
      </c>
      <c r="Y66" s="279" t="str">
        <f t="shared" si="44"/>
        <v>8,4 TZ/FR</v>
      </c>
      <c r="Z66" s="279" t="str">
        <f t="shared" si="44"/>
        <v>8,4 TZ/FR</v>
      </c>
      <c r="AA66" s="279" t="str">
        <f t="shared" si="44"/>
        <v>8,4 TZ/FR</v>
      </c>
      <c r="AB66" s="279" t="str">
        <f t="shared" si="44"/>
        <v>8,4 TZ/FR</v>
      </c>
      <c r="AC66" s="279" t="str">
        <f t="shared" si="44"/>
        <v>8,4 TZ/FR</v>
      </c>
      <c r="AD66" s="279" t="str">
        <f t="shared" si="44"/>
        <v/>
      </c>
      <c r="AE66" s="279" t="str">
        <f t="shared" si="44"/>
        <v>8,4 TZ/FR</v>
      </c>
      <c r="AF66" s="279" t="str">
        <f t="shared" si="44"/>
        <v>8,4 TZ/FR</v>
      </c>
      <c r="AG66" s="279" t="str">
        <f t="shared" si="44"/>
        <v>8,4 TZ/FR</v>
      </c>
      <c r="AH66" s="279" t="str">
        <f t="shared" si="44"/>
        <v>8,4 TZ/FR</v>
      </c>
      <c r="AI66" s="279" t="str">
        <f t="shared" si="44"/>
        <v>8,4 TZ/FR</v>
      </c>
      <c r="AJ66" s="279" t="str">
        <f t="shared" si="44"/>
        <v>8,4 TZ/FR</v>
      </c>
      <c r="AK66" s="279" t="str">
        <f t="shared" si="44"/>
        <v/>
      </c>
      <c r="AL66" s="279" t="str">
        <f t="shared" si="44"/>
        <v>8,4 TZ/FR</v>
      </c>
      <c r="AM66" s="280" t="str">
        <f>ROUND(AM52,2)&amp;" TZ/FR"</f>
        <v>176,4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
      </c>
      <c r="I68" s="279" t="str">
        <f t="shared" ref="I68:AL68" si="46">IF(OR(I55="",I55=0),"","FREI")</f>
        <v/>
      </c>
      <c r="J68" s="279" t="str">
        <f t="shared" si="46"/>
        <v>FREI</v>
      </c>
      <c r="K68" s="279" t="str">
        <f t="shared" si="46"/>
        <v>FREI</v>
      </c>
      <c r="L68" s="279" t="str">
        <f t="shared" si="46"/>
        <v>FREI</v>
      </c>
      <c r="M68" s="279" t="str">
        <f t="shared" si="46"/>
        <v>FREI</v>
      </c>
      <c r="N68" s="279" t="str">
        <f t="shared" si="46"/>
        <v>FREI</v>
      </c>
      <c r="O68" s="279" t="str">
        <f t="shared" si="46"/>
        <v/>
      </c>
      <c r="P68" s="279" t="str">
        <f t="shared" si="46"/>
        <v/>
      </c>
      <c r="Q68" s="279" t="str">
        <f t="shared" si="46"/>
        <v>FREI</v>
      </c>
      <c r="R68" s="279" t="str">
        <f t="shared" si="46"/>
        <v>FREI</v>
      </c>
      <c r="S68" s="279" t="str">
        <f t="shared" si="46"/>
        <v>FREI</v>
      </c>
      <c r="T68" s="279" t="str">
        <f t="shared" si="46"/>
        <v>FREI</v>
      </c>
      <c r="U68" s="279" t="str">
        <f t="shared" si="46"/>
        <v>FREI</v>
      </c>
      <c r="V68" s="279" t="str">
        <f t="shared" si="46"/>
        <v/>
      </c>
      <c r="W68" s="279" t="str">
        <f t="shared" si="46"/>
        <v/>
      </c>
      <c r="X68" s="279" t="str">
        <f t="shared" si="46"/>
        <v>FREI</v>
      </c>
      <c r="Y68" s="279" t="str">
        <f t="shared" si="46"/>
        <v>FREI</v>
      </c>
      <c r="Z68" s="279" t="str">
        <f t="shared" si="46"/>
        <v>FREI</v>
      </c>
      <c r="AA68" s="279" t="str">
        <f t="shared" si="46"/>
        <v>FREI</v>
      </c>
      <c r="AB68" s="279" t="str">
        <f t="shared" si="46"/>
        <v>FREI</v>
      </c>
      <c r="AC68" s="279" t="str">
        <f t="shared" si="46"/>
        <v/>
      </c>
      <c r="AD68" s="279" t="str">
        <f t="shared" si="46"/>
        <v/>
      </c>
      <c r="AE68" s="279" t="str">
        <f t="shared" si="46"/>
        <v>FREI</v>
      </c>
      <c r="AF68" s="279" t="str">
        <f t="shared" si="46"/>
        <v>FREI</v>
      </c>
      <c r="AG68" s="279" t="str">
        <f t="shared" si="46"/>
        <v>FREI</v>
      </c>
      <c r="AH68" s="279" t="str">
        <f t="shared" si="46"/>
        <v>FREI</v>
      </c>
      <c r="AI68" s="279" t="str">
        <f t="shared" si="46"/>
        <v>FREI</v>
      </c>
      <c r="AJ68" s="279" t="str">
        <f t="shared" si="46"/>
        <v/>
      </c>
      <c r="AK68" s="279" t="str">
        <f t="shared" si="46"/>
        <v/>
      </c>
      <c r="AL68" s="279" t="str">
        <f t="shared" si="46"/>
        <v>FREI</v>
      </c>
      <c r="AM68" s="280"/>
      <c r="AN68" s="272"/>
    </row>
    <row r="69" spans="2:40" ht="12.75" hidden="1" customHeight="1" x14ac:dyDescent="0.2">
      <c r="B69" s="256"/>
      <c r="C69" s="257"/>
      <c r="D69" s="250"/>
      <c r="E69" s="250"/>
      <c r="F69" s="281"/>
      <c r="G69" s="282" t="s">
        <v>132</v>
      </c>
      <c r="H69" s="283" t="str">
        <f t="shared" ref="H69:AL69" si="47">_xlfn.TEXTJOIN(";",TRUE,H56,H57,H58,H59,H60,H61,H62,H63,H64,H68)</f>
        <v/>
      </c>
      <c r="I69" s="283" t="str">
        <f t="shared" si="47"/>
        <v/>
      </c>
      <c r="J69" s="283" t="str">
        <f t="shared" si="47"/>
        <v>FREI</v>
      </c>
      <c r="K69" s="283" t="str">
        <f t="shared" si="47"/>
        <v>FREI</v>
      </c>
      <c r="L69" s="283" t="str">
        <f>_xlfn.TEXTJOIN(";",TRUE,L56,L57,L58,L59,L60,L61,L62,L63,L64,L68)</f>
        <v>FREI</v>
      </c>
      <c r="M69" s="283" t="str">
        <f t="shared" si="47"/>
        <v>FREI</v>
      </c>
      <c r="N69" s="283" t="str">
        <f t="shared" si="47"/>
        <v>FREI</v>
      </c>
      <c r="O69" s="283" t="str">
        <f t="shared" si="47"/>
        <v/>
      </c>
      <c r="P69" s="283" t="str">
        <f t="shared" si="47"/>
        <v/>
      </c>
      <c r="Q69" s="283" t="str">
        <f t="shared" si="47"/>
        <v>FREI</v>
      </c>
      <c r="R69" s="283" t="str">
        <f t="shared" si="47"/>
        <v>FREI</v>
      </c>
      <c r="S69" s="283" t="str">
        <f t="shared" si="47"/>
        <v>FREI</v>
      </c>
      <c r="T69" s="283" t="str">
        <f t="shared" si="47"/>
        <v>FREI</v>
      </c>
      <c r="U69" s="283" t="str">
        <f t="shared" si="47"/>
        <v>FREI</v>
      </c>
      <c r="V69" s="283" t="str">
        <f t="shared" si="47"/>
        <v/>
      </c>
      <c r="W69" s="283" t="str">
        <f t="shared" si="47"/>
        <v/>
      </c>
      <c r="X69" s="283" t="str">
        <f t="shared" si="47"/>
        <v>FREI</v>
      </c>
      <c r="Y69" s="283" t="str">
        <f t="shared" si="47"/>
        <v>FREI</v>
      </c>
      <c r="Z69" s="283" t="str">
        <f t="shared" si="47"/>
        <v>FREI</v>
      </c>
      <c r="AA69" s="283" t="str">
        <f t="shared" si="47"/>
        <v>FREI</v>
      </c>
      <c r="AB69" s="283" t="str">
        <f t="shared" si="47"/>
        <v>FREI</v>
      </c>
      <c r="AC69" s="283" t="str">
        <f t="shared" si="47"/>
        <v/>
      </c>
      <c r="AD69" s="283" t="str">
        <f t="shared" si="47"/>
        <v/>
      </c>
      <c r="AE69" s="283" t="str">
        <f t="shared" si="47"/>
        <v>FREI</v>
      </c>
      <c r="AF69" s="283" t="str">
        <f t="shared" si="47"/>
        <v>FREI</v>
      </c>
      <c r="AG69" s="283" t="str">
        <f t="shared" si="47"/>
        <v>FREI</v>
      </c>
      <c r="AH69" s="283" t="str">
        <f t="shared" si="47"/>
        <v>FREI</v>
      </c>
      <c r="AI69" s="283" t="str">
        <f t="shared" si="47"/>
        <v>FREI</v>
      </c>
      <c r="AJ69" s="283" t="str">
        <f t="shared" si="47"/>
        <v/>
      </c>
      <c r="AK69" s="283" t="str">
        <f t="shared" si="47"/>
        <v/>
      </c>
      <c r="AL69" s="283" t="str">
        <f t="shared" si="47"/>
        <v>FREI</v>
      </c>
      <c r="AM69" s="280"/>
      <c r="AN69" s="272"/>
    </row>
    <row r="70" spans="2:40" ht="12.75" hidden="1" customHeight="1" x14ac:dyDescent="0.2">
      <c r="B70" s="256"/>
      <c r="C70" s="257"/>
      <c r="D70" s="250"/>
      <c r="E70" s="250"/>
      <c r="F70" s="281"/>
      <c r="G70" s="278" t="s">
        <v>158</v>
      </c>
      <c r="H70" s="284" cm="1">
        <f t="array" ref="H70">IF(ISERROR(_xlfn.TEXTSPLIT(H69,,";",TRUE)),0,_xlfn.TEXTSPLIT(H69,,";",TRUE))</f>
        <v>0</v>
      </c>
      <c r="I70" s="284" cm="1">
        <f t="array" ref="I70">IF(ISERROR(_xlfn.TEXTSPLIT(I69,,";",TRUE)),0,_xlfn.TEXTSPLIT(I69,,";",TRUE))</f>
        <v>0</v>
      </c>
      <c r="J70" s="284" t="str" cm="1">
        <f t="array" ref="J70">IF(ISERROR(_xlfn.TEXTSPLIT(J69,,";",TRUE)),0,_xlfn.TEXTSPLIT(J69,,";",TRUE))</f>
        <v>FREI</v>
      </c>
      <c r="K70" s="284" t="str" cm="1">
        <f t="array" ref="K70">IF(ISERROR(_xlfn.TEXTSPLIT(K69,,";",TRUE)),0,_xlfn.TEXTSPLIT(K69,,";",TRUE))</f>
        <v>FREI</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cm="1">
        <f t="array" ref="O70">IF(ISERROR(_xlfn.TEXTSPLIT(O69,,";",TRUE)),0,_xlfn.TEXTSPLIT(O69,,";",TRUE))</f>
        <v>0</v>
      </c>
      <c r="P70" s="284" cm="1">
        <f t="array" ref="P70">IF(ISERROR(_xlfn.TEXTSPLIT(P69,,";",TRUE)),0,_xlfn.TEXTSPLIT(P69,,";",TRUE))</f>
        <v>0</v>
      </c>
      <c r="Q70" s="284" t="str" cm="1">
        <f t="array" ref="Q70">IF(ISERROR(_xlfn.TEXTSPLIT(Q69,,";",TRUE)),0,_xlfn.TEXTSPLIT(Q69,,";",TRUE))</f>
        <v>FREI</v>
      </c>
      <c r="R70" s="284" t="str" cm="1">
        <f t="array" ref="R70">IF(ISERROR(_xlfn.TEXTSPLIT(R69,,";",TRUE)),0,_xlfn.TEXTSPLIT(R69,,";",TRUE))</f>
        <v>FREI</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cm="1">
        <f t="array" ref="V70">IF(ISERROR(_xlfn.TEXTSPLIT(V69,,";",TRUE)),0,_xlfn.TEXTSPLIT(V69,,";",TRUE))</f>
        <v>0</v>
      </c>
      <c r="W70" s="284" cm="1">
        <f t="array" ref="W70">IF(ISERROR(_xlfn.TEXTSPLIT(W69,,";",TRUE)),0,_xlfn.TEXTSPLIT(W69,,";",TRUE))</f>
        <v>0</v>
      </c>
      <c r="X70" s="284" t="str" cm="1">
        <f t="array" ref="X70">IF(ISERROR(_xlfn.TEXTSPLIT(X69,,";",TRUE)),0,_xlfn.TEXTSPLIT(X69,,";",TRUE))</f>
        <v>FREI</v>
      </c>
      <c r="Y70" s="284" t="str" cm="1">
        <f t="array" ref="Y70">IF(ISERROR(_xlfn.TEXTSPLIT(Y69,,";",TRUE)),0,_xlfn.TEXTSPLIT(Y69,,";",TRUE))</f>
        <v>FREI</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cm="1">
        <f t="array" ref="AC70">IF(ISERROR(_xlfn.TEXTSPLIT(AC69,,";",TRUE)),0,_xlfn.TEXTSPLIT(AC69,,";",TRUE))</f>
        <v>0</v>
      </c>
      <c r="AD70" s="284" cm="1">
        <f t="array" ref="AD70">IF(ISERROR(_xlfn.TEXTSPLIT(AD69,,";",TRUE)),0,_xlfn.TEXTSPLIT(AD69,,";",TRUE))</f>
        <v>0</v>
      </c>
      <c r="AE70" s="284" t="str" cm="1">
        <f t="array" ref="AE70">IF(ISERROR(_xlfn.TEXTSPLIT(AE69,,";",TRUE)),0,_xlfn.TEXTSPLIT(AE69,,";",TRUE))</f>
        <v>FREI</v>
      </c>
      <c r="AF70" s="284" t="str" cm="1">
        <f t="array" ref="AF70">IF(ISERROR(_xlfn.TEXTSPLIT(AF69,,";",TRUE)),0,_xlfn.TEXTSPLIT(AF69,,";",TRUE))</f>
        <v>FREI</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cm="1">
        <f t="array" ref="AJ70">IF(ISERROR(_xlfn.TEXTSPLIT(AJ69,,";",TRUE)),0,_xlfn.TEXTSPLIT(AJ69,,";",TRUE))</f>
        <v>0</v>
      </c>
      <c r="AK70" s="284" cm="1">
        <f t="array" ref="AK70">IF(ISERROR(_xlfn.TEXTSPLIT(AK69,,";",TRUE)),0,_xlfn.TEXTSPLIT(AK69,,";",TRUE))</f>
        <v>0</v>
      </c>
      <c r="AL70" s="284" t="str" cm="1">
        <f t="array" ref="AL70">IF(ISERROR(_xlfn.TEXTSPLIT(AL69,,";",TRUE)),0,_xlfn.TEXTSPLIT(AL69,,";",TRUE))</f>
        <v>FREI</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-275.52000000000004</v>
      </c>
      <c r="I74" s="289">
        <f t="shared" ref="I74:AL74" si="49">H74+I26-I14</f>
        <v>-275.52000000000004</v>
      </c>
      <c r="J74" s="289">
        <f t="shared" si="49"/>
        <v>-282.24000000000007</v>
      </c>
      <c r="K74" s="289">
        <f t="shared" si="49"/>
        <v>-288.96000000000009</v>
      </c>
      <c r="L74" s="289">
        <f t="shared" si="49"/>
        <v>-295.68000000000012</v>
      </c>
      <c r="M74" s="289">
        <f t="shared" si="49"/>
        <v>-302.40000000000015</v>
      </c>
      <c r="N74" s="289">
        <f t="shared" si="49"/>
        <v>-309.12000000000018</v>
      </c>
      <c r="O74" s="289">
        <f t="shared" si="49"/>
        <v>-309.12000000000018</v>
      </c>
      <c r="P74" s="289">
        <f t="shared" si="49"/>
        <v>-309.12000000000018</v>
      </c>
      <c r="Q74" s="289">
        <f t="shared" si="49"/>
        <v>-315.8400000000002</v>
      </c>
      <c r="R74" s="289">
        <f t="shared" si="49"/>
        <v>-322.56000000000023</v>
      </c>
      <c r="S74" s="289">
        <f t="shared" si="49"/>
        <v>-329.28000000000026</v>
      </c>
      <c r="T74" s="289">
        <f t="shared" si="49"/>
        <v>-336.00000000000028</v>
      </c>
      <c r="U74" s="289">
        <f t="shared" si="49"/>
        <v>-342.72000000000031</v>
      </c>
      <c r="V74" s="289">
        <f t="shared" si="49"/>
        <v>-342.72000000000031</v>
      </c>
      <c r="W74" s="289">
        <f t="shared" si="49"/>
        <v>-342.72000000000031</v>
      </c>
      <c r="X74" s="289">
        <f t="shared" si="49"/>
        <v>-349.44000000000034</v>
      </c>
      <c r="Y74" s="289">
        <f t="shared" si="49"/>
        <v>-356.16000000000037</v>
      </c>
      <c r="Z74" s="289">
        <f t="shared" si="49"/>
        <v>-362.88000000000039</v>
      </c>
      <c r="AA74" s="289">
        <f t="shared" si="49"/>
        <v>-369.60000000000042</v>
      </c>
      <c r="AB74" s="289">
        <f t="shared" si="49"/>
        <v>-376.32000000000045</v>
      </c>
      <c r="AC74" s="289">
        <f t="shared" si="49"/>
        <v>-376.32000000000045</v>
      </c>
      <c r="AD74" s="289">
        <f t="shared" si="49"/>
        <v>-376.32000000000045</v>
      </c>
      <c r="AE74" s="289">
        <f t="shared" si="49"/>
        <v>-383.04000000000048</v>
      </c>
      <c r="AF74" s="289">
        <f t="shared" si="49"/>
        <v>-389.7600000000005</v>
      </c>
      <c r="AG74" s="289">
        <f t="shared" si="49"/>
        <v>-396.48000000000053</v>
      </c>
      <c r="AH74" s="289">
        <f t="shared" si="49"/>
        <v>-403.20000000000056</v>
      </c>
      <c r="AI74" s="289">
        <f t="shared" si="49"/>
        <v>-409.92000000000058</v>
      </c>
      <c r="AJ74" s="289">
        <f t="shared" si="49"/>
        <v>-409.92000000000058</v>
      </c>
      <c r="AK74" s="289">
        <f t="shared" si="49"/>
        <v>-409.92000000000058</v>
      </c>
      <c r="AL74" s="289">
        <f t="shared" si="49"/>
        <v>-416.64000000000061</v>
      </c>
      <c r="AM74" s="290">
        <f>AL74</f>
        <v>-416.64000000000061</v>
      </c>
    </row>
    <row r="75" spans="2:40" ht="12.75" customHeight="1" x14ac:dyDescent="0.2">
      <c r="B75" s="250"/>
      <c r="C75" s="11"/>
      <c r="D75" s="250"/>
      <c r="E75" s="250"/>
      <c r="F75" s="574"/>
      <c r="G75" s="203" t="s">
        <v>71</v>
      </c>
      <c r="H75" s="291">
        <f>H74/TaginSt</f>
        <v>-32.800000000000004</v>
      </c>
      <c r="I75" s="247">
        <f t="shared" ref="I75:AL75" si="50">I74/TaginSt</f>
        <v>-32.800000000000004</v>
      </c>
      <c r="J75" s="247">
        <f t="shared" si="50"/>
        <v>-33.600000000000009</v>
      </c>
      <c r="K75" s="247">
        <f t="shared" si="50"/>
        <v>-34.400000000000013</v>
      </c>
      <c r="L75" s="247">
        <f t="shared" si="50"/>
        <v>-35.20000000000001</v>
      </c>
      <c r="M75" s="247">
        <f t="shared" si="50"/>
        <v>-36.000000000000014</v>
      </c>
      <c r="N75" s="247">
        <f t="shared" si="50"/>
        <v>-36.800000000000018</v>
      </c>
      <c r="O75" s="247">
        <f t="shared" si="50"/>
        <v>-36.800000000000018</v>
      </c>
      <c r="P75" s="247">
        <f t="shared" si="50"/>
        <v>-36.800000000000018</v>
      </c>
      <c r="Q75" s="247">
        <f t="shared" si="50"/>
        <v>-37.600000000000023</v>
      </c>
      <c r="R75" s="247">
        <f t="shared" si="50"/>
        <v>-38.400000000000027</v>
      </c>
      <c r="S75" s="247">
        <f t="shared" si="50"/>
        <v>-39.200000000000031</v>
      </c>
      <c r="T75" s="247">
        <f t="shared" si="50"/>
        <v>-40.000000000000036</v>
      </c>
      <c r="U75" s="247">
        <f t="shared" si="50"/>
        <v>-40.800000000000033</v>
      </c>
      <c r="V75" s="247">
        <f t="shared" si="50"/>
        <v>-40.800000000000033</v>
      </c>
      <c r="W75" s="247">
        <f t="shared" si="50"/>
        <v>-40.800000000000033</v>
      </c>
      <c r="X75" s="247">
        <f t="shared" si="50"/>
        <v>-41.600000000000037</v>
      </c>
      <c r="Y75" s="247">
        <f t="shared" si="50"/>
        <v>-42.400000000000041</v>
      </c>
      <c r="Z75" s="247">
        <f t="shared" si="50"/>
        <v>-43.200000000000045</v>
      </c>
      <c r="AA75" s="247">
        <f t="shared" si="50"/>
        <v>-44.00000000000005</v>
      </c>
      <c r="AB75" s="247">
        <f t="shared" si="50"/>
        <v>-44.800000000000054</v>
      </c>
      <c r="AC75" s="247">
        <f t="shared" si="50"/>
        <v>-44.800000000000054</v>
      </c>
      <c r="AD75" s="247">
        <f t="shared" si="50"/>
        <v>-44.800000000000054</v>
      </c>
      <c r="AE75" s="247">
        <f t="shared" si="50"/>
        <v>-45.600000000000051</v>
      </c>
      <c r="AF75" s="247">
        <f t="shared" si="50"/>
        <v>-46.400000000000055</v>
      </c>
      <c r="AG75" s="247">
        <f t="shared" si="50"/>
        <v>-47.20000000000006</v>
      </c>
      <c r="AH75" s="247">
        <f t="shared" si="50"/>
        <v>-48.000000000000064</v>
      </c>
      <c r="AI75" s="247">
        <f t="shared" si="50"/>
        <v>-48.800000000000068</v>
      </c>
      <c r="AJ75" s="247">
        <f t="shared" si="50"/>
        <v>-48.800000000000068</v>
      </c>
      <c r="AK75" s="247">
        <f t="shared" si="50"/>
        <v>-48.800000000000068</v>
      </c>
      <c r="AL75" s="247">
        <f t="shared" si="50"/>
        <v>-49.600000000000072</v>
      </c>
      <c r="AM75" s="292">
        <f>AL75</f>
        <v>-49.600000000000072</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ST5xsSD8u5RPMxU98pKEPKG6eiymT6qAe/Cwo971bxFZ4Othv8iu9IgY9XVIRlKN8lPtEZpInquQAe63vCuLJg==" saltValue="coxEQMFvhAD0NfaAKZm78w==" spinCount="100000" sheet="1" objects="1" scenarios="1"/>
  <mergeCells count="29">
    <mergeCell ref="AO42:AO53"/>
    <mergeCell ref="F42:F55"/>
    <mergeCell ref="F94:G94"/>
    <mergeCell ref="F88:G88"/>
    <mergeCell ref="F89:G89"/>
    <mergeCell ref="F90:G90"/>
    <mergeCell ref="F91:G91"/>
    <mergeCell ref="F92:G92"/>
    <mergeCell ref="F93:G93"/>
    <mergeCell ref="F78:G78"/>
    <mergeCell ref="F56:F68"/>
    <mergeCell ref="F74:F75"/>
    <mergeCell ref="D79:E91"/>
    <mergeCell ref="F79:G79"/>
    <mergeCell ref="F80:G80"/>
    <mergeCell ref="F81:G81"/>
    <mergeCell ref="F82:G82"/>
    <mergeCell ref="F83:G83"/>
    <mergeCell ref="F84:G84"/>
    <mergeCell ref="F85:G85"/>
    <mergeCell ref="F86:G86"/>
    <mergeCell ref="F87:G87"/>
    <mergeCell ref="F41:G41"/>
    <mergeCell ref="F14:F15"/>
    <mergeCell ref="B17:B18"/>
    <mergeCell ref="C17:C18"/>
    <mergeCell ref="F26:F28"/>
    <mergeCell ref="F30:F38"/>
    <mergeCell ref="F17:F24"/>
  </mergeCells>
  <conditionalFormatting sqref="H11:AL12">
    <cfRule type="expression" dxfId="113" priority="10">
      <formula>OR(WEEKDAY(H$12,2)=7,IF(ISERROR(VLOOKUP(H$12,Feiertagsanspruch,1,FALSE)),0,VLOOKUP(H$12,Feiertagsanspruch,1,FALSE)))</formula>
    </cfRule>
  </conditionalFormatting>
  <conditionalFormatting sqref="H17:AL24">
    <cfRule type="expression" dxfId="112" priority="11">
      <formula>OR(WEEKDAY(H$12,2)=7,IF(ISERROR(VLOOKUP(H$12,Feiertagsanspruch,1,FALSE)),0,VLOOKUP(H$12,Feiertagsanspruch,1,FALSE)))</formula>
    </cfRule>
  </conditionalFormatting>
  <conditionalFormatting sqref="H30:AL32 H35:AL38">
    <cfRule type="expression" dxfId="111" priority="4">
      <formula>H$14=0</formula>
    </cfRule>
  </conditionalFormatting>
  <conditionalFormatting sqref="H33:AL34">
    <cfRule type="expression" dxfId="110" priority="1">
      <formula>H$9=0</formula>
    </cfRule>
  </conditionalFormatting>
  <conditionalFormatting sqref="H74:AL74">
    <cfRule type="cellIs" dxfId="109" priority="8" stopIfTrue="1" operator="lessThan">
      <formula>-20</formula>
    </cfRule>
    <cfRule type="cellIs" dxfId="108" priority="9" stopIfTrue="1" operator="greaterThan">
      <formula>50</formula>
    </cfRule>
  </conditionalFormatting>
  <conditionalFormatting sqref="H75:AL75">
    <cfRule type="cellIs" dxfId="107" priority="6" stopIfTrue="1" operator="lessThan">
      <formula>-2.38095238095238</formula>
    </cfRule>
    <cfRule type="cellIs" dxfId="106" priority="7" stopIfTrue="1" operator="greaterThan">
      <formula>5.95238095238095</formula>
    </cfRule>
  </conditionalFormatting>
  <dataValidations count="14">
    <dataValidation allowBlank="1" sqref="H29:AL29" xr:uid="{6D281C8D-CB25-4C01-A3FE-96C2C685FEC4}"/>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4E9223C1-492A-4A3A-985F-EC9CEA7EBCDC}">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EAE91393-6197-4A7E-9A3B-5162A94CC4C1}">
      <formula1>AND(J31&lt;=100, J31&gt;0,SUM(J30:J38)&lt;=J6,COUNTA(J30:J38)&lt;=MaxAbwesenheitenproTag,OR(AND(J30="",J32="",J33="",J35="",J36="",J37="",J38="")))</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2B79A467-A72B-4D5A-9D15-31DE5BDC659A}">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67341588-B9C4-4A64-8413-26D40879D111}">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ABEFCC35-8663-4784-AD64-93C36B271D4D}">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A8C0EA1C-54E3-4718-8B09-5DEEF922486F}">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C484F74C-C44D-411F-8964-EBCBF500793A}">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E7785171-E475-4F48-85B7-110C4F0E5517}">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1F65407B-3222-4FBF-A6BB-9C7B8536E004}">
      <formula1>AND(H30&lt;=H6,H30&gt;0,SUM(H30:H38)&lt;=H6,COUNTA(H30:H38)&lt;=MaxAbwesenheitenproTag,OR(H31=""))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F8ED27B0-0D16-4EEB-A4F3-E653690656B1}">
      <formula1>AND(H35&lt;=H6,H35&gt;0,SUM(H30:H38)&lt;=H6,COUNTA(H29:H37)&lt;=MaxAbwesenheitenproTag,OR(H31=""))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EFFF14AF-40E6-43F5-9EEC-17007137F316}">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 xr:uid="{11C70A58-2AB7-41A5-BA4E-060CEA9C8B06}">
      <formula1>AND(H9&gt;0,H34&lt;=H5,H34&gt;0,SUM(H30:H38)&lt;=H5,COUNTA(H30:H38)&lt;=MaxAbwesenheitenproTag)</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I34:AL34" xr:uid="{9A0926ED-9131-4714-B2BF-B4E6A39A8F09}">
      <formula1>AND(I9&gt;0,I34&lt;=I5,I34&gt;0,SUM(I30:I38)&lt;=I5,COUNTA(I30:I38)&lt;=MaxAbwesenheitenproTag)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50089BFA-A801-4B1F-BF9D-010E39FAB94C}">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0780-90CD-4148-B903-2E78D2D9FEB5}">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7" width="6" style="10" customWidth="1"/>
    <col min="38" max="38" width="6" style="10" hidden="1"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8.4</v>
      </c>
      <c r="Z1" s="168">
        <f t="shared" si="0"/>
        <v>0</v>
      </c>
      <c r="AA1" s="168">
        <f t="shared" si="0"/>
        <v>0</v>
      </c>
      <c r="AB1" s="168">
        <f t="shared" si="0"/>
        <v>8.4</v>
      </c>
      <c r="AC1" s="168">
        <f t="shared" si="0"/>
        <v>0</v>
      </c>
      <c r="AD1" s="168">
        <f t="shared" si="0"/>
        <v>0</v>
      </c>
      <c r="AE1" s="168">
        <f t="shared" si="0"/>
        <v>0</v>
      </c>
      <c r="AF1" s="168">
        <f t="shared" si="0"/>
        <v>0</v>
      </c>
      <c r="AG1" s="168">
        <f t="shared" si="0"/>
        <v>0</v>
      </c>
      <c r="AH1" s="168">
        <f t="shared" si="0"/>
        <v>0</v>
      </c>
      <c r="AI1" s="168">
        <f t="shared" si="0"/>
        <v>0</v>
      </c>
      <c r="AJ1" s="168">
        <f t="shared" si="0"/>
        <v>0</v>
      </c>
      <c r="AK1" s="168">
        <f t="shared" si="0"/>
        <v>0</v>
      </c>
      <c r="AL1" s="168">
        <f t="shared" si="0"/>
        <v>0</v>
      </c>
      <c r="AM1" s="168">
        <f>SUM(H1:AL1)</f>
        <v>16.8</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6.72</v>
      </c>
      <c r="Z2" s="170">
        <f t="shared" si="1"/>
        <v>0</v>
      </c>
      <c r="AA2" s="170">
        <f t="shared" si="1"/>
        <v>0</v>
      </c>
      <c r="AB2" s="170">
        <f t="shared" si="1"/>
        <v>6.72</v>
      </c>
      <c r="AC2" s="170">
        <f t="shared" si="1"/>
        <v>0</v>
      </c>
      <c r="AD2" s="170">
        <f t="shared" si="1"/>
        <v>0</v>
      </c>
      <c r="AE2" s="170">
        <f t="shared" si="1"/>
        <v>0</v>
      </c>
      <c r="AF2" s="170">
        <f t="shared" si="1"/>
        <v>0</v>
      </c>
      <c r="AG2" s="170">
        <f t="shared" si="1"/>
        <v>0</v>
      </c>
      <c r="AH2" s="170">
        <f t="shared" si="1"/>
        <v>0</v>
      </c>
      <c r="AI2" s="170">
        <f t="shared" si="1"/>
        <v>0</v>
      </c>
      <c r="AJ2" s="170">
        <f t="shared" si="1"/>
        <v>0</v>
      </c>
      <c r="AK2" s="170">
        <f t="shared" si="1"/>
        <v>0</v>
      </c>
      <c r="AL2" s="170">
        <f t="shared" si="1"/>
        <v>0</v>
      </c>
      <c r="AM2" s="168">
        <f>SUM(H2:AL2)</f>
        <v>13.44</v>
      </c>
    </row>
    <row r="3" spans="2:39" hidden="1" x14ac:dyDescent="0.2">
      <c r="D3" s="166"/>
      <c r="E3" s="166"/>
      <c r="G3" s="167" t="s">
        <v>171</v>
      </c>
      <c r="H3" s="171">
        <f t="shared" ref="H3:AI3" si="2">IF(OR(WEEKDAY(H$12,2)=7,H1&gt;0),0,TaginSt-H14-H4)</f>
        <v>0</v>
      </c>
      <c r="I3" s="171">
        <f t="shared" si="2"/>
        <v>0</v>
      </c>
      <c r="J3" s="171">
        <f t="shared" si="2"/>
        <v>0</v>
      </c>
      <c r="K3" s="171">
        <f t="shared" si="2"/>
        <v>0</v>
      </c>
      <c r="L3" s="171">
        <f t="shared" si="2"/>
        <v>8.4</v>
      </c>
      <c r="M3" s="171">
        <f t="shared" si="2"/>
        <v>0</v>
      </c>
      <c r="N3" s="171">
        <f t="shared" si="2"/>
        <v>0</v>
      </c>
      <c r="O3" s="171">
        <f t="shared" si="2"/>
        <v>0</v>
      </c>
      <c r="P3" s="171">
        <f t="shared" si="2"/>
        <v>0</v>
      </c>
      <c r="Q3" s="171">
        <f t="shared" si="2"/>
        <v>0</v>
      </c>
      <c r="R3" s="171">
        <f t="shared" si="2"/>
        <v>0</v>
      </c>
      <c r="S3" s="171">
        <f t="shared" si="2"/>
        <v>8.4</v>
      </c>
      <c r="T3" s="171">
        <f t="shared" si="2"/>
        <v>0</v>
      </c>
      <c r="U3" s="171">
        <f t="shared" si="2"/>
        <v>0</v>
      </c>
      <c r="V3" s="171">
        <f t="shared" si="2"/>
        <v>0</v>
      </c>
      <c r="W3" s="171">
        <f t="shared" si="2"/>
        <v>0</v>
      </c>
      <c r="X3" s="171">
        <f t="shared" si="2"/>
        <v>0</v>
      </c>
      <c r="Y3" s="171">
        <f t="shared" si="2"/>
        <v>0</v>
      </c>
      <c r="Z3" s="171">
        <f t="shared" si="2"/>
        <v>8.4</v>
      </c>
      <c r="AA3" s="171">
        <f t="shared" si="2"/>
        <v>0</v>
      </c>
      <c r="AB3" s="171">
        <f t="shared" si="2"/>
        <v>0</v>
      </c>
      <c r="AC3" s="171">
        <f t="shared" si="2"/>
        <v>0</v>
      </c>
      <c r="AD3" s="171">
        <f t="shared" si="2"/>
        <v>0</v>
      </c>
      <c r="AE3" s="171">
        <f t="shared" si="2"/>
        <v>0</v>
      </c>
      <c r="AF3" s="171">
        <f t="shared" si="2"/>
        <v>0</v>
      </c>
      <c r="AG3" s="171">
        <f t="shared" si="2"/>
        <v>8.4</v>
      </c>
      <c r="AH3" s="171">
        <f t="shared" si="2"/>
        <v>0</v>
      </c>
      <c r="AI3" s="171">
        <f t="shared" si="2"/>
        <v>0</v>
      </c>
      <c r="AJ3" s="171">
        <f>IFERROR(IF(OR(WEEKDAY(AJ$12,2)=7,AJ1&gt;0),0,TaginSt-AJ14-AJ4),0)</f>
        <v>0</v>
      </c>
      <c r="AK3" s="171">
        <f>IFERROR(IF(OR(WEEKDAY(AK$12,2)=7,AK1&gt;0),0,TaginSt-AK14-AK4),0)</f>
        <v>0</v>
      </c>
      <c r="AL3" s="171">
        <f>IFERROR(IF(OR(WEEKDAY(AL$12,2)=7,AL1&gt;0),0,TaginSt-AL14-AL4),0)</f>
        <v>0</v>
      </c>
      <c r="AM3" s="170">
        <f>SUM(H3:AL3)</f>
        <v>33.6</v>
      </c>
    </row>
    <row r="4" spans="2:39" hidden="1" x14ac:dyDescent="0.2">
      <c r="D4" s="166"/>
      <c r="E4" s="166"/>
      <c r="G4" s="167" t="s">
        <v>172</v>
      </c>
      <c r="H4" s="171">
        <f t="shared" ref="H4:AL4" si="3">IF(H14=0,0,((TaginSt-H1)-H14))</f>
        <v>1.6800000000000006</v>
      </c>
      <c r="I4" s="170">
        <f t="shared" si="3"/>
        <v>1.6800000000000006</v>
      </c>
      <c r="J4" s="170">
        <f t="shared" si="3"/>
        <v>1.6800000000000006</v>
      </c>
      <c r="K4" s="170">
        <f t="shared" si="3"/>
        <v>1.6800000000000006</v>
      </c>
      <c r="L4" s="170">
        <f t="shared" si="3"/>
        <v>0</v>
      </c>
      <c r="M4" s="170">
        <f t="shared" si="3"/>
        <v>0</v>
      </c>
      <c r="N4" s="170">
        <f t="shared" si="3"/>
        <v>1.6800000000000006</v>
      </c>
      <c r="O4" s="170">
        <f t="shared" si="3"/>
        <v>1.6800000000000006</v>
      </c>
      <c r="P4" s="170">
        <f t="shared" si="3"/>
        <v>1.6800000000000006</v>
      </c>
      <c r="Q4" s="170">
        <f t="shared" si="3"/>
        <v>1.6800000000000006</v>
      </c>
      <c r="R4" s="170">
        <f t="shared" si="3"/>
        <v>1.6800000000000006</v>
      </c>
      <c r="S4" s="170">
        <f t="shared" si="3"/>
        <v>0</v>
      </c>
      <c r="T4" s="170">
        <f t="shared" si="3"/>
        <v>0</v>
      </c>
      <c r="U4" s="170">
        <f t="shared" si="3"/>
        <v>1.6800000000000006</v>
      </c>
      <c r="V4" s="170">
        <f t="shared" si="3"/>
        <v>1.6800000000000006</v>
      </c>
      <c r="W4" s="170">
        <f t="shared" si="3"/>
        <v>1.6800000000000006</v>
      </c>
      <c r="X4" s="170">
        <f t="shared" si="3"/>
        <v>1.6800000000000006</v>
      </c>
      <c r="Y4" s="170">
        <f t="shared" si="3"/>
        <v>0</v>
      </c>
      <c r="Z4" s="170">
        <f t="shared" si="3"/>
        <v>0</v>
      </c>
      <c r="AA4" s="170">
        <f t="shared" si="3"/>
        <v>0</v>
      </c>
      <c r="AB4" s="170">
        <f t="shared" si="3"/>
        <v>0</v>
      </c>
      <c r="AC4" s="170">
        <f t="shared" si="3"/>
        <v>1.6800000000000006</v>
      </c>
      <c r="AD4" s="170">
        <f t="shared" si="3"/>
        <v>1.6800000000000006</v>
      </c>
      <c r="AE4" s="170">
        <f t="shared" si="3"/>
        <v>1.6800000000000006</v>
      </c>
      <c r="AF4" s="170">
        <f t="shared" si="3"/>
        <v>1.6800000000000006</v>
      </c>
      <c r="AG4" s="170">
        <f t="shared" si="3"/>
        <v>0</v>
      </c>
      <c r="AH4" s="170">
        <f t="shared" si="3"/>
        <v>0</v>
      </c>
      <c r="AI4" s="170">
        <f t="shared" si="3"/>
        <v>1.6800000000000006</v>
      </c>
      <c r="AJ4" s="170">
        <f t="shared" si="3"/>
        <v>1.6800000000000006</v>
      </c>
      <c r="AK4" s="170">
        <f t="shared" si="3"/>
        <v>1.6800000000000006</v>
      </c>
      <c r="AL4" s="170">
        <f t="shared" si="3"/>
        <v>0</v>
      </c>
      <c r="AM4" s="170">
        <f>SUM(H4:AL4)</f>
        <v>33.6</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0</v>
      </c>
      <c r="AM5" s="170"/>
    </row>
    <row r="6" spans="2:39" hidden="1" x14ac:dyDescent="0.2">
      <c r="D6" s="166"/>
      <c r="E6" s="166"/>
      <c r="F6" s="172" t="s">
        <v>7</v>
      </c>
      <c r="G6" s="173" t="s">
        <v>107</v>
      </c>
      <c r="H6" s="174">
        <f t="shared" ref="H6:AI6" si="5">IF(AND(H7=1,H9&gt;0,WEEKDAY(H12,2)&lt;6),(TaginSt-H1)/TaginSt,0)</f>
        <v>1</v>
      </c>
      <c r="I6" s="174">
        <f t="shared" si="5"/>
        <v>1</v>
      </c>
      <c r="J6" s="174">
        <f t="shared" si="5"/>
        <v>1</v>
      </c>
      <c r="K6" s="174">
        <f t="shared" si="5"/>
        <v>1</v>
      </c>
      <c r="L6" s="174">
        <f t="shared" si="5"/>
        <v>0</v>
      </c>
      <c r="M6" s="174">
        <f t="shared" si="5"/>
        <v>0</v>
      </c>
      <c r="N6" s="174">
        <f t="shared" si="5"/>
        <v>1</v>
      </c>
      <c r="O6" s="174">
        <f t="shared" si="5"/>
        <v>1</v>
      </c>
      <c r="P6" s="174">
        <f t="shared" si="5"/>
        <v>1</v>
      </c>
      <c r="Q6" s="174">
        <f t="shared" si="5"/>
        <v>1</v>
      </c>
      <c r="R6" s="174">
        <f t="shared" si="5"/>
        <v>1</v>
      </c>
      <c r="S6" s="174">
        <f t="shared" si="5"/>
        <v>0</v>
      </c>
      <c r="T6" s="174">
        <f t="shared" si="5"/>
        <v>0</v>
      </c>
      <c r="U6" s="174">
        <f t="shared" si="5"/>
        <v>1</v>
      </c>
      <c r="V6" s="174">
        <f t="shared" si="5"/>
        <v>1</v>
      </c>
      <c r="W6" s="174">
        <f t="shared" si="5"/>
        <v>1</v>
      </c>
      <c r="X6" s="174">
        <f t="shared" si="5"/>
        <v>1</v>
      </c>
      <c r="Y6" s="174">
        <f t="shared" si="5"/>
        <v>0</v>
      </c>
      <c r="Z6" s="174">
        <f t="shared" si="5"/>
        <v>0</v>
      </c>
      <c r="AA6" s="174">
        <f t="shared" si="5"/>
        <v>0</v>
      </c>
      <c r="AB6" s="174">
        <f t="shared" si="5"/>
        <v>0</v>
      </c>
      <c r="AC6" s="174">
        <f t="shared" si="5"/>
        <v>1</v>
      </c>
      <c r="AD6" s="174">
        <f t="shared" si="5"/>
        <v>1</v>
      </c>
      <c r="AE6" s="174">
        <f t="shared" si="5"/>
        <v>1</v>
      </c>
      <c r="AF6" s="174">
        <f t="shared" si="5"/>
        <v>1</v>
      </c>
      <c r="AG6" s="174">
        <f t="shared" si="5"/>
        <v>0</v>
      </c>
      <c r="AH6" s="174">
        <f t="shared" si="5"/>
        <v>0</v>
      </c>
      <c r="AI6" s="174">
        <f t="shared" si="5"/>
        <v>1</v>
      </c>
      <c r="AJ6" s="174">
        <f>IFERROR(IF(AND(AJ7=1,AJ9&gt;0,WEEKDAY(AJ12,2)&lt;6),(TaginSt-AJ1)/TaginSt,0),0)</f>
        <v>1</v>
      </c>
      <c r="AK6" s="174">
        <f>IFERROR(IF(AND(AK7=1,AK9&gt;0,WEEKDAY(AK12,2)&lt;6),(TaginSt-AK1)/TaginSt,0),0)</f>
        <v>1</v>
      </c>
      <c r="AL6" s="174">
        <f>IFERROR(IF(AND(AL7=1,AL9&gt;0,WEEKDAY(AL12,2)&lt;6),(TaginSt-AL1)/TaginSt,0),0)</f>
        <v>0</v>
      </c>
      <c r="AM6" s="175"/>
    </row>
    <row r="7" spans="2:39" hidden="1" x14ac:dyDescent="0.2">
      <c r="F7" s="176">
        <v>4</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0</v>
      </c>
      <c r="AM7" s="177">
        <f>SUM(H7:AL7)</f>
        <v>30</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April</v>
      </c>
      <c r="C11" s="184">
        <f>Jahr</f>
        <v>2025</v>
      </c>
      <c r="D11" s="166"/>
      <c r="E11" s="166"/>
      <c r="F11" s="185"/>
      <c r="G11" s="186"/>
      <c r="H11" s="187" t="str">
        <f>TEXT(H12,"TTT")</f>
        <v>Di</v>
      </c>
      <c r="I11" s="188" t="str">
        <f>TEXT(I12,"TTT")</f>
        <v>Mi</v>
      </c>
      <c r="J11" s="188" t="str">
        <f t="shared" ref="J11:L11" si="8">TEXT(J12,"TTT")</f>
        <v>Do</v>
      </c>
      <c r="K11" s="188" t="str">
        <f t="shared" si="8"/>
        <v>Fr</v>
      </c>
      <c r="L11" s="188" t="str">
        <f t="shared" si="8"/>
        <v>Sa</v>
      </c>
      <c r="M11" s="188" t="str">
        <f>TEXT(M12,"TTT")</f>
        <v>So</v>
      </c>
      <c r="N11" s="188" t="str">
        <f t="shared" ref="N11:AL11" si="9">TEXT(N12,"TTT")</f>
        <v>Mo</v>
      </c>
      <c r="O11" s="188" t="str">
        <f t="shared" si="9"/>
        <v>Di</v>
      </c>
      <c r="P11" s="188" t="str">
        <f t="shared" si="9"/>
        <v>Mi</v>
      </c>
      <c r="Q11" s="188" t="str">
        <f t="shared" si="9"/>
        <v>Do</v>
      </c>
      <c r="R11" s="188" t="str">
        <f t="shared" si="9"/>
        <v>Fr</v>
      </c>
      <c r="S11" s="188" t="str">
        <f t="shared" si="9"/>
        <v>Sa</v>
      </c>
      <c r="T11" s="188" t="str">
        <f t="shared" si="9"/>
        <v>So</v>
      </c>
      <c r="U11" s="188" t="str">
        <f t="shared" si="9"/>
        <v>Mo</v>
      </c>
      <c r="V11" s="188" t="str">
        <f t="shared" si="9"/>
        <v>Di</v>
      </c>
      <c r="W11" s="188" t="str">
        <f t="shared" si="9"/>
        <v>Mi</v>
      </c>
      <c r="X11" s="188" t="str">
        <f t="shared" si="9"/>
        <v>Do</v>
      </c>
      <c r="Y11" s="188" t="str">
        <f t="shared" si="9"/>
        <v>Fr</v>
      </c>
      <c r="Z11" s="188" t="str">
        <f t="shared" si="9"/>
        <v>Sa</v>
      </c>
      <c r="AA11" s="188" t="str">
        <f t="shared" si="9"/>
        <v>So</v>
      </c>
      <c r="AB11" s="188" t="str">
        <f t="shared" si="9"/>
        <v>Mo</v>
      </c>
      <c r="AC11" s="188" t="str">
        <f t="shared" si="9"/>
        <v>Di</v>
      </c>
      <c r="AD11" s="188" t="str">
        <f t="shared" si="9"/>
        <v>Mi</v>
      </c>
      <c r="AE11" s="188" t="str">
        <f t="shared" si="9"/>
        <v>Do</v>
      </c>
      <c r="AF11" s="188" t="str">
        <f t="shared" si="9"/>
        <v>Fr</v>
      </c>
      <c r="AG11" s="188" t="str">
        <f t="shared" si="9"/>
        <v>Sa</v>
      </c>
      <c r="AH11" s="188" t="str">
        <f t="shared" si="9"/>
        <v>So</v>
      </c>
      <c r="AI11" s="188" t="str">
        <f t="shared" si="9"/>
        <v>Mo</v>
      </c>
      <c r="AJ11" s="188" t="str">
        <f t="shared" si="9"/>
        <v>Di</v>
      </c>
      <c r="AK11" s="188" t="str">
        <f t="shared" si="9"/>
        <v>Mi</v>
      </c>
      <c r="AL11" s="188" t="str">
        <f t="shared" si="9"/>
        <v/>
      </c>
      <c r="AM11" s="188"/>
    </row>
    <row r="12" spans="2:39" ht="12.75" customHeight="1" thickBot="1" x14ac:dyDescent="0.25">
      <c r="B12" s="189" t="str">
        <f>Pfarrer</f>
        <v>Heinz Muster</v>
      </c>
      <c r="C12" s="190"/>
      <c r="D12" s="191"/>
      <c r="E12" s="191"/>
      <c r="F12" s="185"/>
      <c r="G12" s="192" t="s">
        <v>2</v>
      </c>
      <c r="H12" s="193">
        <f>DATE(C11,F7,1)</f>
        <v>44286</v>
      </c>
      <c r="I12" s="194">
        <f>DATE(C11,F7,2)</f>
        <v>44287</v>
      </c>
      <c r="J12" s="194">
        <f>DATE(C11,F7,3)</f>
        <v>44288</v>
      </c>
      <c r="K12" s="194">
        <f>DATE(C11,F7,4)</f>
        <v>44289</v>
      </c>
      <c r="L12" s="194">
        <f>DATE(C11,F7,5)</f>
        <v>44290</v>
      </c>
      <c r="M12" s="194">
        <f>DATE(C11,F7,6)</f>
        <v>44291</v>
      </c>
      <c r="N12" s="194">
        <f>DATE(C11,F7,7)</f>
        <v>44292</v>
      </c>
      <c r="O12" s="194">
        <f>DATE(C11,F7,8)</f>
        <v>44293</v>
      </c>
      <c r="P12" s="194">
        <f>DATE(C11,F7,9)</f>
        <v>44294</v>
      </c>
      <c r="Q12" s="194">
        <f>DATE(C11,F7,10)</f>
        <v>44295</v>
      </c>
      <c r="R12" s="194">
        <f>DATE(C11,F7,11)</f>
        <v>44296</v>
      </c>
      <c r="S12" s="194">
        <f>DATE(C11,F7,12)</f>
        <v>44297</v>
      </c>
      <c r="T12" s="194">
        <f>DATE(C11,F7,13)</f>
        <v>44298</v>
      </c>
      <c r="U12" s="194">
        <f>DATE(C11,F7,14)</f>
        <v>44299</v>
      </c>
      <c r="V12" s="194">
        <f>DATE(C11,F7,15)</f>
        <v>44300</v>
      </c>
      <c r="W12" s="194">
        <f>DATE(C11,F7,16)</f>
        <v>44301</v>
      </c>
      <c r="X12" s="194">
        <f>DATE(C11,F7,17)</f>
        <v>44302</v>
      </c>
      <c r="Y12" s="194">
        <f>DATE(C11,F7,18)</f>
        <v>44303</v>
      </c>
      <c r="Z12" s="194">
        <f>DATE(C11,F7,19)</f>
        <v>44304</v>
      </c>
      <c r="AA12" s="194">
        <f>DATE(C11,F7,20)</f>
        <v>44305</v>
      </c>
      <c r="AB12" s="194">
        <f>DATE(C11,F7,21)</f>
        <v>44306</v>
      </c>
      <c r="AC12" s="194">
        <f>DATE(C11,F7,22)</f>
        <v>44307</v>
      </c>
      <c r="AD12" s="194">
        <f>DATE(C11,F7,23)</f>
        <v>44308</v>
      </c>
      <c r="AE12" s="194">
        <f>DATE(C11,F7,24)</f>
        <v>44309</v>
      </c>
      <c r="AF12" s="194">
        <f>DATE(C11,F7,25)</f>
        <v>44310</v>
      </c>
      <c r="AG12" s="194">
        <f>DATE(C11,F7,26)</f>
        <v>44311</v>
      </c>
      <c r="AH12" s="194">
        <f>DATE(C11,F7,27)</f>
        <v>44312</v>
      </c>
      <c r="AI12" s="194">
        <f>DATE(C11,F7,28)</f>
        <v>44313</v>
      </c>
      <c r="AJ12" s="194">
        <f>IFERROR(IF(MONTH(AI12+1)=MONTH($H$12),AI$12+1,""),"")</f>
        <v>44314</v>
      </c>
      <c r="AK12" s="194">
        <f>IFERROR(IF(MONTH(AJ12+1)=MONTH($H$12),AJ$12+1,""),"")</f>
        <v>44315</v>
      </c>
      <c r="AL12" s="194" t="str">
        <f>IFERROR(IF(MONTH(AK12+1)=MONTH($H$12),AK$12+1,""),"")</f>
        <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6.72</v>
      </c>
      <c r="I14" s="204">
        <f t="shared" si="10"/>
        <v>6.72</v>
      </c>
      <c r="J14" s="204">
        <f t="shared" si="10"/>
        <v>6.72</v>
      </c>
      <c r="K14" s="204">
        <f t="shared" si="10"/>
        <v>6.72</v>
      </c>
      <c r="L14" s="204">
        <f t="shared" si="10"/>
        <v>0</v>
      </c>
      <c r="M14" s="204">
        <f t="shared" si="10"/>
        <v>0</v>
      </c>
      <c r="N14" s="204">
        <f t="shared" si="10"/>
        <v>6.72</v>
      </c>
      <c r="O14" s="204">
        <f t="shared" si="10"/>
        <v>6.72</v>
      </c>
      <c r="P14" s="204">
        <f t="shared" si="10"/>
        <v>6.72</v>
      </c>
      <c r="Q14" s="204">
        <f t="shared" si="10"/>
        <v>6.72</v>
      </c>
      <c r="R14" s="204">
        <f t="shared" si="10"/>
        <v>6.72</v>
      </c>
      <c r="S14" s="204">
        <f t="shared" si="10"/>
        <v>0</v>
      </c>
      <c r="T14" s="204">
        <f t="shared" si="10"/>
        <v>0</v>
      </c>
      <c r="U14" s="204">
        <f t="shared" si="10"/>
        <v>6.72</v>
      </c>
      <c r="V14" s="204">
        <f t="shared" si="10"/>
        <v>6.72</v>
      </c>
      <c r="W14" s="204">
        <f t="shared" si="10"/>
        <v>6.72</v>
      </c>
      <c r="X14" s="204">
        <f t="shared" si="10"/>
        <v>6.72</v>
      </c>
      <c r="Y14" s="204">
        <f t="shared" si="10"/>
        <v>0</v>
      </c>
      <c r="Z14" s="204">
        <f t="shared" si="10"/>
        <v>0</v>
      </c>
      <c r="AA14" s="204">
        <f t="shared" si="10"/>
        <v>0</v>
      </c>
      <c r="AB14" s="204">
        <f t="shared" si="10"/>
        <v>0</v>
      </c>
      <c r="AC14" s="204">
        <f t="shared" si="10"/>
        <v>6.72</v>
      </c>
      <c r="AD14" s="204">
        <f t="shared" si="10"/>
        <v>6.72</v>
      </c>
      <c r="AE14" s="204">
        <f t="shared" si="10"/>
        <v>6.72</v>
      </c>
      <c r="AF14" s="204">
        <f t="shared" si="10"/>
        <v>6.72</v>
      </c>
      <c r="AG14" s="204">
        <f t="shared" si="10"/>
        <v>0</v>
      </c>
      <c r="AH14" s="204">
        <f t="shared" si="10"/>
        <v>0</v>
      </c>
      <c r="AI14" s="204">
        <f t="shared" si="10"/>
        <v>6.72</v>
      </c>
      <c r="AJ14" s="204">
        <f>IFERROR(IF(OR(WEEKDAY(AJ12,2)&gt;=6,AJ7=0),0,(TaginSt-AJ1)*AJ9/100),0)</f>
        <v>6.72</v>
      </c>
      <c r="AK14" s="204">
        <f>IFERROR(IF(OR(WEEKDAY(AK12,2)&gt;=6,AK7=0),0,(TaginSt-AK1)*AK9/100),0)</f>
        <v>6.72</v>
      </c>
      <c r="AL14" s="204">
        <f>IFERROR(IF(OR(WEEKDAY(AL12,2)&gt;=6,AL7=0),0,(TaginSt-AL1)*AL9/100),0)</f>
        <v>0</v>
      </c>
      <c r="AM14" s="205">
        <f>SUM(H14:AL14)</f>
        <v>134.4</v>
      </c>
    </row>
    <row r="15" spans="2:39" ht="12.75" customHeight="1" x14ac:dyDescent="0.2">
      <c r="D15" s="202"/>
      <c r="E15" s="202"/>
      <c r="F15" s="566"/>
      <c r="G15" s="203" t="s">
        <v>136</v>
      </c>
      <c r="H15" s="204">
        <f t="shared" ref="H15:AL15" si="11">H14/TaginSt</f>
        <v>0.79999999999999993</v>
      </c>
      <c r="I15" s="206">
        <f t="shared" si="11"/>
        <v>0.79999999999999993</v>
      </c>
      <c r="J15" s="206">
        <f t="shared" si="11"/>
        <v>0.79999999999999993</v>
      </c>
      <c r="K15" s="206">
        <f t="shared" si="11"/>
        <v>0.79999999999999993</v>
      </c>
      <c r="L15" s="206">
        <f t="shared" si="11"/>
        <v>0</v>
      </c>
      <c r="M15" s="206">
        <f t="shared" si="11"/>
        <v>0</v>
      </c>
      <c r="N15" s="206">
        <f t="shared" si="11"/>
        <v>0.79999999999999993</v>
      </c>
      <c r="O15" s="206">
        <f t="shared" si="11"/>
        <v>0.79999999999999993</v>
      </c>
      <c r="P15" s="206">
        <f t="shared" si="11"/>
        <v>0.79999999999999993</v>
      </c>
      <c r="Q15" s="206">
        <f t="shared" si="11"/>
        <v>0.79999999999999993</v>
      </c>
      <c r="R15" s="206">
        <f t="shared" si="11"/>
        <v>0.79999999999999993</v>
      </c>
      <c r="S15" s="206">
        <f t="shared" si="11"/>
        <v>0</v>
      </c>
      <c r="T15" s="206">
        <f t="shared" si="11"/>
        <v>0</v>
      </c>
      <c r="U15" s="206">
        <f t="shared" si="11"/>
        <v>0.79999999999999993</v>
      </c>
      <c r="V15" s="206">
        <f t="shared" si="11"/>
        <v>0.79999999999999993</v>
      </c>
      <c r="W15" s="206">
        <f t="shared" si="11"/>
        <v>0.79999999999999993</v>
      </c>
      <c r="X15" s="206">
        <f t="shared" si="11"/>
        <v>0.79999999999999993</v>
      </c>
      <c r="Y15" s="206">
        <f t="shared" si="11"/>
        <v>0</v>
      </c>
      <c r="Z15" s="206">
        <f t="shared" si="11"/>
        <v>0</v>
      </c>
      <c r="AA15" s="206">
        <f t="shared" si="11"/>
        <v>0</v>
      </c>
      <c r="AB15" s="206">
        <f t="shared" si="11"/>
        <v>0</v>
      </c>
      <c r="AC15" s="206">
        <f t="shared" si="11"/>
        <v>0.79999999999999993</v>
      </c>
      <c r="AD15" s="206">
        <f t="shared" si="11"/>
        <v>0.79999999999999993</v>
      </c>
      <c r="AE15" s="206">
        <f t="shared" si="11"/>
        <v>0.79999999999999993</v>
      </c>
      <c r="AF15" s="206">
        <f t="shared" si="11"/>
        <v>0.79999999999999993</v>
      </c>
      <c r="AG15" s="206">
        <f t="shared" si="11"/>
        <v>0</v>
      </c>
      <c r="AH15" s="206">
        <f t="shared" si="11"/>
        <v>0</v>
      </c>
      <c r="AI15" s="206">
        <f t="shared" si="11"/>
        <v>0.79999999999999993</v>
      </c>
      <c r="AJ15" s="206">
        <f t="shared" si="11"/>
        <v>0.79999999999999993</v>
      </c>
      <c r="AK15" s="206">
        <f t="shared" si="11"/>
        <v>0.79999999999999993</v>
      </c>
      <c r="AL15" s="206">
        <f t="shared" si="11"/>
        <v>0</v>
      </c>
      <c r="AM15" s="205">
        <f>SUM(H15:AL15)</f>
        <v>16.000000000000004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SaldoStdEndeMär</f>
        <v>-416.64000000000061</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214"/>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218"/>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222"/>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218"/>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222"/>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229"/>
      <c r="AM22" s="219"/>
    </row>
    <row r="23" spans="2:39" ht="12.75" customHeight="1" thickBot="1" x14ac:dyDescent="0.25">
      <c r="B23" s="230" t="s">
        <v>110</v>
      </c>
      <c r="C23" s="231">
        <f>Mär!C23-AM42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233"/>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237"/>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Mär!C27-AM50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255"/>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258"/>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255"/>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255"/>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255"/>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255"/>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255"/>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255"/>
      <c r="AM38" s="247">
        <f t="shared" si="15"/>
        <v>0</v>
      </c>
    </row>
    <row r="39" spans="2:43" ht="12.75" customHeight="1" x14ac:dyDescent="0.2">
      <c r="D39" s="250"/>
      <c r="E39" s="250"/>
      <c r="F39" s="458" t="s">
        <v>266</v>
      </c>
      <c r="G39" s="262" t="s">
        <v>168</v>
      </c>
      <c r="H39" s="263">
        <f t="shared" ref="H39:AL40" si="16">IF(ISERROR(H51/TaginSt),0,H51/TaginSt)</f>
        <v>0</v>
      </c>
      <c r="I39" s="263">
        <f t="shared" si="16"/>
        <v>0</v>
      </c>
      <c r="J39" s="263">
        <f t="shared" si="16"/>
        <v>0</v>
      </c>
      <c r="K39" s="263">
        <f t="shared" si="16"/>
        <v>0</v>
      </c>
      <c r="L39" s="263">
        <f>IF(ISERROR(L51/TaginSt),0,L51/TaginSt)</f>
        <v>1</v>
      </c>
      <c r="M39" s="263">
        <f t="shared" si="16"/>
        <v>0</v>
      </c>
      <c r="N39" s="263">
        <f t="shared" si="16"/>
        <v>0</v>
      </c>
      <c r="O39" s="263">
        <f t="shared" si="16"/>
        <v>0</v>
      </c>
      <c r="P39" s="263">
        <f t="shared" si="16"/>
        <v>0</v>
      </c>
      <c r="Q39" s="263">
        <f t="shared" si="16"/>
        <v>0</v>
      </c>
      <c r="R39" s="263">
        <f t="shared" si="16"/>
        <v>0</v>
      </c>
      <c r="S39" s="263">
        <f t="shared" si="16"/>
        <v>1</v>
      </c>
      <c r="T39" s="263">
        <f t="shared" si="16"/>
        <v>0</v>
      </c>
      <c r="U39" s="263">
        <f t="shared" si="16"/>
        <v>0</v>
      </c>
      <c r="V39" s="263">
        <f t="shared" si="16"/>
        <v>0</v>
      </c>
      <c r="W39" s="263">
        <f t="shared" si="16"/>
        <v>0</v>
      </c>
      <c r="X39" s="263">
        <f t="shared" si="16"/>
        <v>0</v>
      </c>
      <c r="Y39" s="263">
        <f t="shared" si="16"/>
        <v>0</v>
      </c>
      <c r="Z39" s="263">
        <f t="shared" si="16"/>
        <v>1</v>
      </c>
      <c r="AA39" s="263">
        <f t="shared" si="16"/>
        <v>0</v>
      </c>
      <c r="AB39" s="263">
        <f t="shared" si="16"/>
        <v>0</v>
      </c>
      <c r="AC39" s="263">
        <f t="shared" si="16"/>
        <v>0</v>
      </c>
      <c r="AD39" s="263">
        <f t="shared" si="16"/>
        <v>0</v>
      </c>
      <c r="AE39" s="263">
        <f t="shared" si="16"/>
        <v>0</v>
      </c>
      <c r="AF39" s="263">
        <f t="shared" si="16"/>
        <v>0</v>
      </c>
      <c r="AG39" s="263">
        <f t="shared" si="16"/>
        <v>1</v>
      </c>
      <c r="AH39" s="263">
        <f t="shared" si="16"/>
        <v>0</v>
      </c>
      <c r="AI39" s="263">
        <f t="shared" si="16"/>
        <v>0</v>
      </c>
      <c r="AJ39" s="263">
        <f t="shared" si="16"/>
        <v>0</v>
      </c>
      <c r="AK39" s="263">
        <f t="shared" si="16"/>
        <v>0</v>
      </c>
      <c r="AL39" s="263">
        <f t="shared" si="16"/>
        <v>0</v>
      </c>
      <c r="AM39" s="264">
        <f>SUM(H39:AL39)</f>
        <v>4</v>
      </c>
      <c r="AN39" s="265"/>
    </row>
    <row r="40" spans="2:43" ht="12.75" customHeight="1" x14ac:dyDescent="0.2">
      <c r="D40" s="250"/>
      <c r="E40" s="250"/>
      <c r="F40" s="459" t="s">
        <v>267</v>
      </c>
      <c r="G40" s="266" t="s">
        <v>188</v>
      </c>
      <c r="H40" s="263">
        <f t="shared" si="16"/>
        <v>1</v>
      </c>
      <c r="I40" s="263">
        <f t="shared" si="16"/>
        <v>1</v>
      </c>
      <c r="J40" s="263">
        <f>IF(ISERROR(J52/TaginSt),0,J52/TaginSt)</f>
        <v>1</v>
      </c>
      <c r="K40" s="263">
        <f t="shared" si="16"/>
        <v>1</v>
      </c>
      <c r="L40" s="263">
        <f t="shared" si="16"/>
        <v>0</v>
      </c>
      <c r="M40" s="263">
        <f t="shared" si="16"/>
        <v>0</v>
      </c>
      <c r="N40" s="263">
        <f t="shared" si="16"/>
        <v>1</v>
      </c>
      <c r="O40" s="263">
        <f t="shared" si="16"/>
        <v>1</v>
      </c>
      <c r="P40" s="263">
        <f t="shared" si="16"/>
        <v>1</v>
      </c>
      <c r="Q40" s="263">
        <f t="shared" si="16"/>
        <v>1</v>
      </c>
      <c r="R40" s="263">
        <f t="shared" si="16"/>
        <v>1</v>
      </c>
      <c r="S40" s="263">
        <f t="shared" si="16"/>
        <v>0</v>
      </c>
      <c r="T40" s="263">
        <f t="shared" si="16"/>
        <v>0</v>
      </c>
      <c r="U40" s="263">
        <f t="shared" si="16"/>
        <v>1</v>
      </c>
      <c r="V40" s="263">
        <f t="shared" si="16"/>
        <v>1</v>
      </c>
      <c r="W40" s="263">
        <f t="shared" si="16"/>
        <v>1</v>
      </c>
      <c r="X40" s="263">
        <f t="shared" si="16"/>
        <v>1</v>
      </c>
      <c r="Y40" s="263">
        <f t="shared" si="16"/>
        <v>0</v>
      </c>
      <c r="Z40" s="263">
        <f t="shared" si="16"/>
        <v>0</v>
      </c>
      <c r="AA40" s="263">
        <f t="shared" si="16"/>
        <v>0</v>
      </c>
      <c r="AB40" s="263">
        <f t="shared" si="16"/>
        <v>0</v>
      </c>
      <c r="AC40" s="263">
        <f t="shared" si="16"/>
        <v>1</v>
      </c>
      <c r="AD40" s="263">
        <f t="shared" si="16"/>
        <v>1</v>
      </c>
      <c r="AE40" s="263">
        <f t="shared" si="16"/>
        <v>1</v>
      </c>
      <c r="AF40" s="263">
        <f t="shared" si="16"/>
        <v>1</v>
      </c>
      <c r="AG40" s="263">
        <f t="shared" si="16"/>
        <v>0</v>
      </c>
      <c r="AH40" s="263">
        <f t="shared" si="16"/>
        <v>0</v>
      </c>
      <c r="AI40" s="263">
        <f t="shared" si="16"/>
        <v>1</v>
      </c>
      <c r="AJ40" s="263">
        <f t="shared" si="16"/>
        <v>1</v>
      </c>
      <c r="AK40" s="263">
        <f t="shared" si="16"/>
        <v>1</v>
      </c>
      <c r="AL40" s="263">
        <f t="shared" si="16"/>
        <v>0</v>
      </c>
      <c r="AM40" s="264">
        <f>SUM(H40:AL40)</f>
        <v>20</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0</v>
      </c>
      <c r="I51" s="270">
        <f t="shared" si="29"/>
        <v>0</v>
      </c>
      <c r="J51" s="270">
        <f t="shared" si="29"/>
        <v>0</v>
      </c>
      <c r="K51" s="270">
        <f t="shared" si="29"/>
        <v>0</v>
      </c>
      <c r="L51" s="270">
        <f t="shared" si="29"/>
        <v>8.4</v>
      </c>
      <c r="M51" s="270">
        <f t="shared" si="29"/>
        <v>0</v>
      </c>
      <c r="N51" s="270">
        <f t="shared" si="29"/>
        <v>0</v>
      </c>
      <c r="O51" s="270">
        <f t="shared" si="29"/>
        <v>0</v>
      </c>
      <c r="P51" s="270">
        <f t="shared" si="29"/>
        <v>0</v>
      </c>
      <c r="Q51" s="270">
        <f t="shared" si="29"/>
        <v>0</v>
      </c>
      <c r="R51" s="270">
        <f t="shared" si="29"/>
        <v>0</v>
      </c>
      <c r="S51" s="270">
        <f t="shared" si="29"/>
        <v>8.4</v>
      </c>
      <c r="T51" s="270">
        <f t="shared" si="29"/>
        <v>0</v>
      </c>
      <c r="U51" s="270">
        <f t="shared" si="29"/>
        <v>0</v>
      </c>
      <c r="V51" s="270">
        <f t="shared" si="29"/>
        <v>0</v>
      </c>
      <c r="W51" s="270">
        <f t="shared" si="29"/>
        <v>0</v>
      </c>
      <c r="X51" s="270">
        <f t="shared" si="29"/>
        <v>0</v>
      </c>
      <c r="Y51" s="270">
        <f t="shared" si="29"/>
        <v>0</v>
      </c>
      <c r="Z51" s="270">
        <f t="shared" si="29"/>
        <v>8.4</v>
      </c>
      <c r="AA51" s="270">
        <f t="shared" si="29"/>
        <v>0</v>
      </c>
      <c r="AB51" s="270">
        <f t="shared" si="29"/>
        <v>0</v>
      </c>
      <c r="AC51" s="270">
        <f t="shared" si="29"/>
        <v>0</v>
      </c>
      <c r="AD51" s="270">
        <f t="shared" si="29"/>
        <v>0</v>
      </c>
      <c r="AE51" s="270">
        <f t="shared" si="29"/>
        <v>0</v>
      </c>
      <c r="AF51" s="270">
        <f t="shared" si="29"/>
        <v>0</v>
      </c>
      <c r="AG51" s="270">
        <f t="shared" si="29"/>
        <v>8.4</v>
      </c>
      <c r="AH51" s="270">
        <f t="shared" si="29"/>
        <v>0</v>
      </c>
      <c r="AI51" s="270">
        <f t="shared" si="29"/>
        <v>0</v>
      </c>
      <c r="AJ51" s="270">
        <f>IFERROR(IF(OR(AJ3&gt;0,AND(AJ9=100,OR(WEEKDAY(AJ12,2)&lt;7,AJ1&gt;0))),AJ3+AJ14-AJ26,0),"")</f>
        <v>0</v>
      </c>
      <c r="AK51" s="270">
        <f>IFERROR(IF(OR(AK3&gt;0,AND(AK9=100,OR(WEEKDAY(AK12,2)&lt;7,AK1&gt;0))),AK3+AK14-AK26,0),"")</f>
        <v>0</v>
      </c>
      <c r="AL51" s="270" t="str">
        <f>IFERROR(IF(OR(AL3&gt;0,AND(AL9=100,OR(WEEKDAY(AL12,2)&lt;7,AL1&gt;0))),AL3+AL14-AL26,0),"")</f>
        <v/>
      </c>
      <c r="AM51" s="271">
        <f t="shared" si="20"/>
        <v>33.6</v>
      </c>
      <c r="AN51" s="272"/>
      <c r="AO51" s="562"/>
    </row>
    <row r="52" spans="2:41" ht="12.75" hidden="1" customHeight="1" x14ac:dyDescent="0.2">
      <c r="B52" s="256"/>
      <c r="C52" s="257"/>
      <c r="D52" s="250"/>
      <c r="E52" s="250"/>
      <c r="F52" s="564"/>
      <c r="G52" s="269" t="s">
        <v>170</v>
      </c>
      <c r="H52" s="270">
        <f t="shared" ref="H52:AI52" si="30">IF(H4&gt;0,IF(AND(H1&gt;0,H14+H4-H26&lt;=H4),H4,H14+H4-H26),0)</f>
        <v>8.4</v>
      </c>
      <c r="I52" s="270">
        <f t="shared" si="30"/>
        <v>8.4</v>
      </c>
      <c r="J52" s="270">
        <f t="shared" si="30"/>
        <v>8.4</v>
      </c>
      <c r="K52" s="270">
        <f t="shared" si="30"/>
        <v>8.4</v>
      </c>
      <c r="L52" s="270">
        <f t="shared" si="30"/>
        <v>0</v>
      </c>
      <c r="M52" s="270">
        <f t="shared" si="30"/>
        <v>0</v>
      </c>
      <c r="N52" s="270">
        <f t="shared" si="30"/>
        <v>8.4</v>
      </c>
      <c r="O52" s="270">
        <f t="shared" si="30"/>
        <v>8.4</v>
      </c>
      <c r="P52" s="270">
        <f t="shared" si="30"/>
        <v>8.4</v>
      </c>
      <c r="Q52" s="270">
        <f t="shared" si="30"/>
        <v>8.4</v>
      </c>
      <c r="R52" s="270">
        <f t="shared" si="30"/>
        <v>8.4</v>
      </c>
      <c r="S52" s="270">
        <f t="shared" si="30"/>
        <v>0</v>
      </c>
      <c r="T52" s="270">
        <f t="shared" si="30"/>
        <v>0</v>
      </c>
      <c r="U52" s="270">
        <f t="shared" si="30"/>
        <v>8.4</v>
      </c>
      <c r="V52" s="270">
        <f t="shared" si="30"/>
        <v>8.4</v>
      </c>
      <c r="W52" s="270">
        <f t="shared" si="30"/>
        <v>8.4</v>
      </c>
      <c r="X52" s="270">
        <f t="shared" si="30"/>
        <v>8.4</v>
      </c>
      <c r="Y52" s="270">
        <f t="shared" si="30"/>
        <v>0</v>
      </c>
      <c r="Z52" s="270">
        <f t="shared" si="30"/>
        <v>0</v>
      </c>
      <c r="AA52" s="270">
        <f t="shared" si="30"/>
        <v>0</v>
      </c>
      <c r="AB52" s="270">
        <f t="shared" si="30"/>
        <v>0</v>
      </c>
      <c r="AC52" s="270">
        <f t="shared" si="30"/>
        <v>8.4</v>
      </c>
      <c r="AD52" s="270">
        <f t="shared" si="30"/>
        <v>8.4</v>
      </c>
      <c r="AE52" s="270">
        <f t="shared" si="30"/>
        <v>8.4</v>
      </c>
      <c r="AF52" s="270">
        <f t="shared" si="30"/>
        <v>8.4</v>
      </c>
      <c r="AG52" s="270">
        <f t="shared" si="30"/>
        <v>0</v>
      </c>
      <c r="AH52" s="270">
        <f t="shared" si="30"/>
        <v>0</v>
      </c>
      <c r="AI52" s="270">
        <f t="shared" si="30"/>
        <v>8.4</v>
      </c>
      <c r="AJ52" s="270">
        <f>IFERROR(IF(AJ4&gt;0,IF(AND(AJ1&gt;0,AJ14+AJ4-AJ26&lt;=AJ4),AJ4,AJ14+AJ4-AJ26),0),"")</f>
        <v>8.4</v>
      </c>
      <c r="AK52" s="270">
        <f>IFERROR(IF(AK4&gt;0,IF(AND(AK1&gt;0,AK14+AK4-AK26&lt;=AK4),AK4,AK14+AK4-AK26),0),"")</f>
        <v>8.4</v>
      </c>
      <c r="AL52" s="270">
        <f>IFERROR(IF(AL4&gt;0,IF(AND(AL1&gt;0,AL14+AL4-AL26&lt;=AL4),AL4,AL14+AL4-AL26),0),"")</f>
        <v>0</v>
      </c>
      <c r="AM52" s="271">
        <f t="shared" si="20"/>
        <v>168.00000000000006</v>
      </c>
      <c r="AN52" s="272"/>
      <c r="AO52" s="562"/>
    </row>
    <row r="53" spans="2:41" ht="12.75" hidden="1" customHeight="1" x14ac:dyDescent="0.2">
      <c r="B53" s="256"/>
      <c r="C53" s="257"/>
      <c r="D53" s="250"/>
      <c r="E53" s="250"/>
      <c r="F53" s="564"/>
      <c r="G53" s="275" t="s">
        <v>173</v>
      </c>
      <c r="H53" s="270">
        <f>IFERROR(H51+H52,"")</f>
        <v>8.4</v>
      </c>
      <c r="I53" s="270">
        <f t="shared" ref="I53:AL53" si="31">IFERROR(I51+I52,"")</f>
        <v>8.4</v>
      </c>
      <c r="J53" s="270">
        <f t="shared" si="31"/>
        <v>8.4</v>
      </c>
      <c r="K53" s="270">
        <f t="shared" si="31"/>
        <v>8.4</v>
      </c>
      <c r="L53" s="270">
        <f t="shared" si="31"/>
        <v>8.4</v>
      </c>
      <c r="M53" s="270">
        <f t="shared" si="31"/>
        <v>0</v>
      </c>
      <c r="N53" s="270">
        <f t="shared" si="31"/>
        <v>8.4</v>
      </c>
      <c r="O53" s="270">
        <f t="shared" si="31"/>
        <v>8.4</v>
      </c>
      <c r="P53" s="270">
        <f t="shared" si="31"/>
        <v>8.4</v>
      </c>
      <c r="Q53" s="270">
        <f t="shared" si="31"/>
        <v>8.4</v>
      </c>
      <c r="R53" s="270">
        <f t="shared" si="31"/>
        <v>8.4</v>
      </c>
      <c r="S53" s="270">
        <f t="shared" si="31"/>
        <v>8.4</v>
      </c>
      <c r="T53" s="270">
        <f t="shared" si="31"/>
        <v>0</v>
      </c>
      <c r="U53" s="270">
        <f t="shared" si="31"/>
        <v>8.4</v>
      </c>
      <c r="V53" s="270">
        <f t="shared" si="31"/>
        <v>8.4</v>
      </c>
      <c r="W53" s="270">
        <f t="shared" si="31"/>
        <v>8.4</v>
      </c>
      <c r="X53" s="270">
        <f t="shared" si="31"/>
        <v>8.4</v>
      </c>
      <c r="Y53" s="270">
        <f t="shared" si="31"/>
        <v>0</v>
      </c>
      <c r="Z53" s="270">
        <f t="shared" si="31"/>
        <v>8.4</v>
      </c>
      <c r="AA53" s="270">
        <f t="shared" si="31"/>
        <v>0</v>
      </c>
      <c r="AB53" s="270">
        <f t="shared" si="31"/>
        <v>0</v>
      </c>
      <c r="AC53" s="270">
        <f t="shared" si="31"/>
        <v>8.4</v>
      </c>
      <c r="AD53" s="270">
        <f t="shared" si="31"/>
        <v>8.4</v>
      </c>
      <c r="AE53" s="270">
        <f t="shared" si="31"/>
        <v>8.4</v>
      </c>
      <c r="AF53" s="270">
        <f t="shared" si="31"/>
        <v>8.4</v>
      </c>
      <c r="AG53" s="270">
        <f t="shared" si="31"/>
        <v>8.4</v>
      </c>
      <c r="AH53" s="270">
        <f t="shared" si="31"/>
        <v>0</v>
      </c>
      <c r="AI53" s="270">
        <f t="shared" si="31"/>
        <v>8.4</v>
      </c>
      <c r="AJ53" s="270">
        <f t="shared" si="31"/>
        <v>8.4</v>
      </c>
      <c r="AK53" s="270">
        <f t="shared" si="31"/>
        <v>8.4</v>
      </c>
      <c r="AL53" s="270" t="str">
        <f t="shared" si="31"/>
        <v/>
      </c>
      <c r="AM53" s="271">
        <f t="shared" si="20"/>
        <v>201.60000000000008</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6.72</v>
      </c>
      <c r="I55" s="270">
        <f t="shared" si="33"/>
        <v>6.72</v>
      </c>
      <c r="J55" s="270">
        <f t="shared" si="33"/>
        <v>6.72</v>
      </c>
      <c r="K55" s="270">
        <f t="shared" si="33"/>
        <v>6.72</v>
      </c>
      <c r="L55" s="270">
        <f t="shared" si="33"/>
        <v>0</v>
      </c>
      <c r="M55" s="270">
        <f t="shared" si="33"/>
        <v>0</v>
      </c>
      <c r="N55" s="270">
        <f t="shared" si="33"/>
        <v>6.72</v>
      </c>
      <c r="O55" s="270">
        <f t="shared" si="33"/>
        <v>6.72</v>
      </c>
      <c r="P55" s="270">
        <f t="shared" si="33"/>
        <v>6.72</v>
      </c>
      <c r="Q55" s="270">
        <f t="shared" si="33"/>
        <v>6.72</v>
      </c>
      <c r="R55" s="270">
        <f t="shared" si="33"/>
        <v>6.72</v>
      </c>
      <c r="S55" s="270">
        <f t="shared" si="33"/>
        <v>0</v>
      </c>
      <c r="T55" s="270">
        <f t="shared" si="33"/>
        <v>0</v>
      </c>
      <c r="U55" s="270">
        <f t="shared" si="33"/>
        <v>6.72</v>
      </c>
      <c r="V55" s="270">
        <f t="shared" si="33"/>
        <v>6.72</v>
      </c>
      <c r="W55" s="270">
        <f t="shared" si="33"/>
        <v>6.72</v>
      </c>
      <c r="X55" s="270">
        <f t="shared" si="33"/>
        <v>6.72</v>
      </c>
      <c r="Y55" s="270">
        <f t="shared" si="33"/>
        <v>0</v>
      </c>
      <c r="Z55" s="270">
        <f t="shared" si="33"/>
        <v>0</v>
      </c>
      <c r="AA55" s="270">
        <f t="shared" si="33"/>
        <v>0</v>
      </c>
      <c r="AB55" s="270">
        <f t="shared" si="33"/>
        <v>0</v>
      </c>
      <c r="AC55" s="270">
        <f t="shared" si="33"/>
        <v>6.72</v>
      </c>
      <c r="AD55" s="270">
        <f t="shared" si="33"/>
        <v>6.72</v>
      </c>
      <c r="AE55" s="270">
        <f t="shared" si="33"/>
        <v>6.72</v>
      </c>
      <c r="AF55" s="270">
        <f t="shared" si="33"/>
        <v>6.72</v>
      </c>
      <c r="AG55" s="270">
        <f t="shared" si="33"/>
        <v>0</v>
      </c>
      <c r="AH55" s="270">
        <f t="shared" si="33"/>
        <v>0</v>
      </c>
      <c r="AI55" s="270">
        <f t="shared" si="33"/>
        <v>6.72</v>
      </c>
      <c r="AJ55" s="270">
        <f t="shared" si="33"/>
        <v>6.72</v>
      </c>
      <c r="AK55" s="270">
        <f t="shared" si="33"/>
        <v>6.72</v>
      </c>
      <c r="AL55" s="270">
        <f t="shared" si="33"/>
        <v>0</v>
      </c>
      <c r="AM55" s="271">
        <f t="shared" si="20"/>
        <v>134.4</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8,4 TZ/FR</v>
      </c>
      <c r="J66" s="279" t="str">
        <f t="shared" si="44"/>
        <v>8,4 TZ/FR</v>
      </c>
      <c r="K66" s="279" t="str">
        <f t="shared" si="44"/>
        <v>8,4 TZ/FR</v>
      </c>
      <c r="L66" s="279" t="str">
        <f t="shared" si="44"/>
        <v>8,4 TZ/FR</v>
      </c>
      <c r="M66" s="279" t="str">
        <f t="shared" si="44"/>
        <v/>
      </c>
      <c r="N66" s="279" t="str">
        <f t="shared" si="44"/>
        <v>8,4 TZ/FR</v>
      </c>
      <c r="O66" s="279" t="str">
        <f t="shared" si="44"/>
        <v>8,4 TZ/FR</v>
      </c>
      <c r="P66" s="279" t="str">
        <f t="shared" si="44"/>
        <v>8,4 TZ/FR</v>
      </c>
      <c r="Q66" s="279" t="str">
        <f t="shared" si="44"/>
        <v>8,4 TZ/FR</v>
      </c>
      <c r="R66" s="279" t="str">
        <f t="shared" si="44"/>
        <v>8,4 TZ/FR</v>
      </c>
      <c r="S66" s="279" t="str">
        <f t="shared" si="44"/>
        <v>8,4 TZ/FR</v>
      </c>
      <c r="T66" s="279" t="str">
        <f t="shared" si="44"/>
        <v/>
      </c>
      <c r="U66" s="279" t="str">
        <f t="shared" si="44"/>
        <v>8,4 TZ/FR</v>
      </c>
      <c r="V66" s="279" t="str">
        <f t="shared" si="44"/>
        <v>8,4 TZ/FR</v>
      </c>
      <c r="W66" s="279" t="str">
        <f t="shared" si="44"/>
        <v>8,4 TZ/FR</v>
      </c>
      <c r="X66" s="279" t="str">
        <f t="shared" si="44"/>
        <v>8,4 TZ/FR</v>
      </c>
      <c r="Y66" s="279" t="str">
        <f t="shared" si="44"/>
        <v/>
      </c>
      <c r="Z66" s="279" t="str">
        <f t="shared" si="44"/>
        <v>8,4 TZ/FR</v>
      </c>
      <c r="AA66" s="279" t="str">
        <f t="shared" si="44"/>
        <v/>
      </c>
      <c r="AB66" s="279" t="str">
        <f t="shared" si="44"/>
        <v/>
      </c>
      <c r="AC66" s="279" t="str">
        <f t="shared" si="44"/>
        <v>8,4 TZ/FR</v>
      </c>
      <c r="AD66" s="279" t="str">
        <f t="shared" si="44"/>
        <v>8,4 TZ/FR</v>
      </c>
      <c r="AE66" s="279" t="str">
        <f t="shared" si="44"/>
        <v>8,4 TZ/FR</v>
      </c>
      <c r="AF66" s="279" t="str">
        <f t="shared" si="44"/>
        <v>8,4 TZ/FR</v>
      </c>
      <c r="AG66" s="279" t="str">
        <f t="shared" si="44"/>
        <v>8,4 TZ/FR</v>
      </c>
      <c r="AH66" s="279" t="str">
        <f t="shared" si="44"/>
        <v/>
      </c>
      <c r="AI66" s="279" t="str">
        <f t="shared" si="44"/>
        <v>8,4 TZ/FR</v>
      </c>
      <c r="AJ66" s="279" t="str">
        <f t="shared" si="44"/>
        <v>8,4 TZ/FR</v>
      </c>
      <c r="AK66" s="279" t="str">
        <f t="shared" si="44"/>
        <v>8,4 TZ/FR</v>
      </c>
      <c r="AL66" s="279" t="str">
        <f t="shared" si="44"/>
        <v/>
      </c>
      <c r="AM66" s="280" t="str">
        <f>ROUND(AM52,2)&amp;" TZ/FR"</f>
        <v>168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FREI</v>
      </c>
      <c r="I68" s="279" t="str">
        <f t="shared" ref="I68:AL68" si="46">IF(OR(I55="",I55=0),"","FREI")</f>
        <v>FREI</v>
      </c>
      <c r="J68" s="279" t="str">
        <f t="shared" si="46"/>
        <v>FREI</v>
      </c>
      <c r="K68" s="279" t="str">
        <f t="shared" si="46"/>
        <v>FREI</v>
      </c>
      <c r="L68" s="279" t="str">
        <f t="shared" si="46"/>
        <v/>
      </c>
      <c r="M68" s="279" t="str">
        <f t="shared" si="46"/>
        <v/>
      </c>
      <c r="N68" s="279" t="str">
        <f t="shared" si="46"/>
        <v>FREI</v>
      </c>
      <c r="O68" s="279" t="str">
        <f t="shared" si="46"/>
        <v>FREI</v>
      </c>
      <c r="P68" s="279" t="str">
        <f t="shared" si="46"/>
        <v>FREI</v>
      </c>
      <c r="Q68" s="279" t="str">
        <f t="shared" si="46"/>
        <v>FREI</v>
      </c>
      <c r="R68" s="279" t="str">
        <f t="shared" si="46"/>
        <v>FREI</v>
      </c>
      <c r="S68" s="279" t="str">
        <f t="shared" si="46"/>
        <v/>
      </c>
      <c r="T68" s="279" t="str">
        <f t="shared" si="46"/>
        <v/>
      </c>
      <c r="U68" s="279" t="str">
        <f t="shared" si="46"/>
        <v>FREI</v>
      </c>
      <c r="V68" s="279" t="str">
        <f t="shared" si="46"/>
        <v>FREI</v>
      </c>
      <c r="W68" s="279" t="str">
        <f t="shared" si="46"/>
        <v>FREI</v>
      </c>
      <c r="X68" s="279" t="str">
        <f t="shared" si="46"/>
        <v>FREI</v>
      </c>
      <c r="Y68" s="279" t="str">
        <f t="shared" si="46"/>
        <v/>
      </c>
      <c r="Z68" s="279" t="str">
        <f t="shared" si="46"/>
        <v/>
      </c>
      <c r="AA68" s="279" t="str">
        <f t="shared" si="46"/>
        <v/>
      </c>
      <c r="AB68" s="279" t="str">
        <f t="shared" si="46"/>
        <v/>
      </c>
      <c r="AC68" s="279" t="str">
        <f t="shared" si="46"/>
        <v>FREI</v>
      </c>
      <c r="AD68" s="279" t="str">
        <f t="shared" si="46"/>
        <v>FREI</v>
      </c>
      <c r="AE68" s="279" t="str">
        <f t="shared" si="46"/>
        <v>FREI</v>
      </c>
      <c r="AF68" s="279" t="str">
        <f t="shared" si="46"/>
        <v>FREI</v>
      </c>
      <c r="AG68" s="279" t="str">
        <f t="shared" si="46"/>
        <v/>
      </c>
      <c r="AH68" s="279" t="str">
        <f t="shared" si="46"/>
        <v/>
      </c>
      <c r="AI68" s="279" t="str">
        <f t="shared" si="46"/>
        <v>FREI</v>
      </c>
      <c r="AJ68" s="279" t="str">
        <f t="shared" si="46"/>
        <v>FREI</v>
      </c>
      <c r="AK68" s="279" t="str">
        <f t="shared" si="46"/>
        <v>FREI</v>
      </c>
      <c r="AL68" s="279" t="str">
        <f t="shared" si="46"/>
        <v/>
      </c>
      <c r="AM68" s="280"/>
      <c r="AN68" s="272"/>
    </row>
    <row r="69" spans="2:40" ht="12.75" hidden="1" customHeight="1" x14ac:dyDescent="0.2">
      <c r="B69" s="256"/>
      <c r="C69" s="257"/>
      <c r="D69" s="250"/>
      <c r="E69" s="250"/>
      <c r="F69" s="281"/>
      <c r="G69" s="282" t="s">
        <v>132</v>
      </c>
      <c r="H69" s="283" t="str">
        <f t="shared" ref="H69:AL69" si="47">_xlfn.TEXTJOIN(";",TRUE,H56,H57,H58,H59,H60,H61,H62,H63,H64,H68)</f>
        <v>FREI</v>
      </c>
      <c r="I69" s="283" t="str">
        <f t="shared" si="47"/>
        <v>FREI</v>
      </c>
      <c r="J69" s="283" t="str">
        <f t="shared" si="47"/>
        <v>FREI</v>
      </c>
      <c r="K69" s="283" t="str">
        <f t="shared" si="47"/>
        <v>FREI</v>
      </c>
      <c r="L69" s="283" t="str">
        <f>_xlfn.TEXTJOIN(";",TRUE,L56,L57,L58,L59,L60,L61,L62,L63,L64,L68)</f>
        <v/>
      </c>
      <c r="M69" s="283" t="str">
        <f t="shared" si="47"/>
        <v/>
      </c>
      <c r="N69" s="283" t="str">
        <f t="shared" si="47"/>
        <v>FREI</v>
      </c>
      <c r="O69" s="283" t="str">
        <f t="shared" si="47"/>
        <v>FREI</v>
      </c>
      <c r="P69" s="283" t="str">
        <f t="shared" si="47"/>
        <v>FREI</v>
      </c>
      <c r="Q69" s="283" t="str">
        <f t="shared" si="47"/>
        <v>FREI</v>
      </c>
      <c r="R69" s="283" t="str">
        <f t="shared" si="47"/>
        <v>FREI</v>
      </c>
      <c r="S69" s="283" t="str">
        <f t="shared" si="47"/>
        <v/>
      </c>
      <c r="T69" s="283" t="str">
        <f t="shared" si="47"/>
        <v/>
      </c>
      <c r="U69" s="283" t="str">
        <f t="shared" si="47"/>
        <v>FREI</v>
      </c>
      <c r="V69" s="283" t="str">
        <f t="shared" si="47"/>
        <v>FREI</v>
      </c>
      <c r="W69" s="283" t="str">
        <f t="shared" si="47"/>
        <v>FREI</v>
      </c>
      <c r="X69" s="283" t="str">
        <f t="shared" si="47"/>
        <v>FREI</v>
      </c>
      <c r="Y69" s="283" t="str">
        <f t="shared" si="47"/>
        <v/>
      </c>
      <c r="Z69" s="283" t="str">
        <f t="shared" si="47"/>
        <v/>
      </c>
      <c r="AA69" s="283" t="str">
        <f t="shared" si="47"/>
        <v/>
      </c>
      <c r="AB69" s="283" t="str">
        <f t="shared" si="47"/>
        <v/>
      </c>
      <c r="AC69" s="283" t="str">
        <f t="shared" si="47"/>
        <v>FREI</v>
      </c>
      <c r="AD69" s="283" t="str">
        <f t="shared" si="47"/>
        <v>FREI</v>
      </c>
      <c r="AE69" s="283" t="str">
        <f t="shared" si="47"/>
        <v>FREI</v>
      </c>
      <c r="AF69" s="283" t="str">
        <f t="shared" si="47"/>
        <v>FREI</v>
      </c>
      <c r="AG69" s="283" t="str">
        <f t="shared" si="47"/>
        <v/>
      </c>
      <c r="AH69" s="283" t="str">
        <f t="shared" si="47"/>
        <v/>
      </c>
      <c r="AI69" s="283" t="str">
        <f t="shared" si="47"/>
        <v>FREI</v>
      </c>
      <c r="AJ69" s="283" t="str">
        <f t="shared" si="47"/>
        <v>FREI</v>
      </c>
      <c r="AK69" s="283" t="str">
        <f t="shared" si="47"/>
        <v>FREI</v>
      </c>
      <c r="AL69" s="283" t="str">
        <f t="shared" si="47"/>
        <v/>
      </c>
      <c r="AM69" s="280"/>
      <c r="AN69" s="272"/>
    </row>
    <row r="70" spans="2:40" ht="12.75" hidden="1" customHeight="1" x14ac:dyDescent="0.2">
      <c r="B70" s="256"/>
      <c r="C70" s="257"/>
      <c r="D70" s="250"/>
      <c r="E70" s="250"/>
      <c r="F70" s="281"/>
      <c r="G70" s="278" t="s">
        <v>158</v>
      </c>
      <c r="H70" s="284" t="str" cm="1">
        <f t="array" ref="H70">IF(ISERROR(_xlfn.TEXTSPLIT(H69,,";",TRUE)),0,_xlfn.TEXTSPLIT(H69,,";",TRUE))</f>
        <v>FREI</v>
      </c>
      <c r="I70" s="284" t="str" cm="1">
        <f t="array" ref="I70">IF(ISERROR(_xlfn.TEXTSPLIT(I69,,";",TRUE)),0,_xlfn.TEXTSPLIT(I69,,";",TRUE))</f>
        <v>FREI</v>
      </c>
      <c r="J70" s="284" t="str" cm="1">
        <f t="array" ref="J70">IF(ISERROR(_xlfn.TEXTSPLIT(J69,,";",TRUE)),0,_xlfn.TEXTSPLIT(J69,,";",TRUE))</f>
        <v>FREI</v>
      </c>
      <c r="K70" s="284" t="str" cm="1">
        <f t="array" ref="K70">IF(ISERROR(_xlfn.TEXTSPLIT(K69,,";",TRUE)),0,_xlfn.TEXTSPLIT(K69,,";",TRUE))</f>
        <v>FREI</v>
      </c>
      <c r="L70" s="284" cm="1">
        <f t="array" ref="L70">IF(ISERROR(_xlfn.TEXTSPLIT(L69,,";",TRUE)),0,_xlfn.TEXTSPLIT(L69,,";",TRUE))</f>
        <v>0</v>
      </c>
      <c r="M70" s="284" cm="1">
        <f t="array" ref="M70">IF(ISERROR(_xlfn.TEXTSPLIT(M69,,";",TRUE)),0,_xlfn.TEXTSPLIT(M69,,";",TRUE))</f>
        <v>0</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t="str" cm="1">
        <f t="array" ref="Q70">IF(ISERROR(_xlfn.TEXTSPLIT(Q69,,";",TRUE)),0,_xlfn.TEXTSPLIT(Q69,,";",TRUE))</f>
        <v>FREI</v>
      </c>
      <c r="R70" s="284" t="str" cm="1">
        <f t="array" ref="R70">IF(ISERROR(_xlfn.TEXTSPLIT(R69,,";",TRUE)),0,_xlfn.TEXTSPLIT(R69,,";",TRUE))</f>
        <v>FREI</v>
      </c>
      <c r="S70" s="284" cm="1">
        <f t="array" ref="S70">IF(ISERROR(_xlfn.TEXTSPLIT(S69,,";",TRUE)),0,_xlfn.TEXTSPLIT(S69,,";",TRUE))</f>
        <v>0</v>
      </c>
      <c r="T70" s="284" cm="1">
        <f t="array" ref="T70">IF(ISERROR(_xlfn.TEXTSPLIT(T69,,";",TRUE)),0,_xlfn.TEXTSPLIT(T69,,";",TRUE))</f>
        <v>0</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t="str" cm="1">
        <f t="array" ref="X70">IF(ISERROR(_xlfn.TEXTSPLIT(X69,,";",TRUE)),0,_xlfn.TEXTSPLIT(X69,,";",TRUE))</f>
        <v>FREI</v>
      </c>
      <c r="Y70" s="284" cm="1">
        <f t="array" ref="Y70">IF(ISERROR(_xlfn.TEXTSPLIT(Y69,,";",TRUE)),0,_xlfn.TEXTSPLIT(Y69,,";",TRUE))</f>
        <v>0</v>
      </c>
      <c r="Z70" s="284" cm="1">
        <f t="array" ref="Z70">IF(ISERROR(_xlfn.TEXTSPLIT(Z69,,";",TRUE)),0,_xlfn.TEXTSPLIT(Z69,,";",TRUE))</f>
        <v>0</v>
      </c>
      <c r="AA70" s="284" cm="1">
        <f t="array" ref="AA70">IF(ISERROR(_xlfn.TEXTSPLIT(AA69,,";",TRUE)),0,_xlfn.TEXTSPLIT(AA69,,";",TRUE))</f>
        <v>0</v>
      </c>
      <c r="AB70" s="284" cm="1">
        <f t="array" ref="AB70">IF(ISERROR(_xlfn.TEXTSPLIT(AB69,,";",TRUE)),0,_xlfn.TEXTSPLIT(AB69,,";",TRUE))</f>
        <v>0</v>
      </c>
      <c r="AC70" s="284" t="str" cm="1">
        <f t="array" ref="AC70">IF(ISERROR(_xlfn.TEXTSPLIT(AC69,,";",TRUE)),0,_xlfn.TEXTSPLIT(AC69,,";",TRUE))</f>
        <v>FREI</v>
      </c>
      <c r="AD70" s="284" t="str" cm="1">
        <f t="array" ref="AD70">IF(ISERROR(_xlfn.TEXTSPLIT(AD69,,";",TRUE)),0,_xlfn.TEXTSPLIT(AD69,,";",TRUE))</f>
        <v>FREI</v>
      </c>
      <c r="AE70" s="284" t="str" cm="1">
        <f t="array" ref="AE70">IF(ISERROR(_xlfn.TEXTSPLIT(AE69,,";",TRUE)),0,_xlfn.TEXTSPLIT(AE69,,";",TRUE))</f>
        <v>FREI</v>
      </c>
      <c r="AF70" s="284" t="str" cm="1">
        <f t="array" ref="AF70">IF(ISERROR(_xlfn.TEXTSPLIT(AF69,,";",TRUE)),0,_xlfn.TEXTSPLIT(AF69,,";",TRUE))</f>
        <v>FREI</v>
      </c>
      <c r="AG70" s="284" cm="1">
        <f t="array" ref="AG70">IF(ISERROR(_xlfn.TEXTSPLIT(AG69,,";",TRUE)),0,_xlfn.TEXTSPLIT(AG69,,";",TRUE))</f>
        <v>0</v>
      </c>
      <c r="AH70" s="284" cm="1">
        <f t="array" ref="AH70">IF(ISERROR(_xlfn.TEXTSPLIT(AH69,,";",TRUE)),0,_xlfn.TEXTSPLIT(AH69,,";",TRUE))</f>
        <v>0</v>
      </c>
      <c r="AI70" s="284" t="str" cm="1">
        <f t="array" ref="AI70">IF(ISERROR(_xlfn.TEXTSPLIT(AI69,,";",TRUE)),0,_xlfn.TEXTSPLIT(AI69,,";",TRUE))</f>
        <v>FREI</v>
      </c>
      <c r="AJ70" s="284" t="str" cm="1">
        <f t="array" ref="AJ70">IF(ISERROR(_xlfn.TEXTSPLIT(AJ69,,";",TRUE)),0,_xlfn.TEXTSPLIT(AJ69,,";",TRUE))</f>
        <v>FREI</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-423.36000000000064</v>
      </c>
      <c r="I74" s="289">
        <f t="shared" ref="I74:AL74" si="49">H74+I26-I14</f>
        <v>-430.08000000000067</v>
      </c>
      <c r="J74" s="289">
        <f t="shared" si="49"/>
        <v>-436.80000000000069</v>
      </c>
      <c r="K74" s="289">
        <f t="shared" si="49"/>
        <v>-443.52000000000072</v>
      </c>
      <c r="L74" s="289">
        <f t="shared" si="49"/>
        <v>-443.52000000000072</v>
      </c>
      <c r="M74" s="289">
        <f t="shared" si="49"/>
        <v>-443.52000000000072</v>
      </c>
      <c r="N74" s="289">
        <f t="shared" si="49"/>
        <v>-450.24000000000075</v>
      </c>
      <c r="O74" s="289">
        <f t="shared" si="49"/>
        <v>-456.96000000000078</v>
      </c>
      <c r="P74" s="289">
        <f t="shared" si="49"/>
        <v>-463.6800000000008</v>
      </c>
      <c r="Q74" s="289">
        <f t="shared" si="49"/>
        <v>-470.40000000000083</v>
      </c>
      <c r="R74" s="289">
        <f t="shared" si="49"/>
        <v>-477.12000000000086</v>
      </c>
      <c r="S74" s="289">
        <f t="shared" si="49"/>
        <v>-477.12000000000086</v>
      </c>
      <c r="T74" s="289">
        <f t="shared" si="49"/>
        <v>-477.12000000000086</v>
      </c>
      <c r="U74" s="289">
        <f t="shared" si="49"/>
        <v>-483.84000000000088</v>
      </c>
      <c r="V74" s="289">
        <f t="shared" si="49"/>
        <v>-490.56000000000091</v>
      </c>
      <c r="W74" s="289">
        <f t="shared" si="49"/>
        <v>-497.28000000000094</v>
      </c>
      <c r="X74" s="289">
        <f t="shared" si="49"/>
        <v>-504.00000000000097</v>
      </c>
      <c r="Y74" s="289">
        <f t="shared" si="49"/>
        <v>-504.00000000000097</v>
      </c>
      <c r="Z74" s="289">
        <f t="shared" si="49"/>
        <v>-504.00000000000097</v>
      </c>
      <c r="AA74" s="289">
        <f t="shared" si="49"/>
        <v>-504.00000000000097</v>
      </c>
      <c r="AB74" s="289">
        <f t="shared" si="49"/>
        <v>-504.00000000000097</v>
      </c>
      <c r="AC74" s="289">
        <f t="shared" si="49"/>
        <v>-510.72000000000099</v>
      </c>
      <c r="AD74" s="289">
        <f t="shared" si="49"/>
        <v>-517.44000000000096</v>
      </c>
      <c r="AE74" s="289">
        <f t="shared" si="49"/>
        <v>-524.16000000000099</v>
      </c>
      <c r="AF74" s="289">
        <f t="shared" si="49"/>
        <v>-530.88000000000102</v>
      </c>
      <c r="AG74" s="289">
        <f t="shared" si="49"/>
        <v>-530.88000000000102</v>
      </c>
      <c r="AH74" s="289">
        <f t="shared" si="49"/>
        <v>-530.88000000000102</v>
      </c>
      <c r="AI74" s="289">
        <f t="shared" si="49"/>
        <v>-537.60000000000105</v>
      </c>
      <c r="AJ74" s="289">
        <f t="shared" si="49"/>
        <v>-544.32000000000107</v>
      </c>
      <c r="AK74" s="289">
        <f t="shared" si="49"/>
        <v>-551.0400000000011</v>
      </c>
      <c r="AL74" s="289">
        <f t="shared" si="49"/>
        <v>-551.0400000000011</v>
      </c>
      <c r="AM74" s="290">
        <f>AL74</f>
        <v>-551.0400000000011</v>
      </c>
    </row>
    <row r="75" spans="2:40" ht="12.75" customHeight="1" x14ac:dyDescent="0.2">
      <c r="B75" s="250"/>
      <c r="C75" s="11"/>
      <c r="D75" s="250"/>
      <c r="E75" s="250"/>
      <c r="F75" s="574"/>
      <c r="G75" s="203" t="s">
        <v>71</v>
      </c>
      <c r="H75" s="291">
        <f>H74/TaginSt</f>
        <v>-50.400000000000077</v>
      </c>
      <c r="I75" s="247">
        <f t="shared" ref="I75:AL75" si="50">I74/TaginSt</f>
        <v>-51.200000000000074</v>
      </c>
      <c r="J75" s="247">
        <f t="shared" si="50"/>
        <v>-52.000000000000078</v>
      </c>
      <c r="K75" s="247">
        <f t="shared" si="50"/>
        <v>-52.800000000000082</v>
      </c>
      <c r="L75" s="247">
        <f t="shared" si="50"/>
        <v>-52.800000000000082</v>
      </c>
      <c r="M75" s="247">
        <f t="shared" si="50"/>
        <v>-52.800000000000082</v>
      </c>
      <c r="N75" s="247">
        <f t="shared" si="50"/>
        <v>-53.600000000000087</v>
      </c>
      <c r="O75" s="247">
        <f t="shared" si="50"/>
        <v>-54.400000000000091</v>
      </c>
      <c r="P75" s="247">
        <f t="shared" si="50"/>
        <v>-55.200000000000095</v>
      </c>
      <c r="Q75" s="247">
        <f t="shared" si="50"/>
        <v>-56.000000000000099</v>
      </c>
      <c r="R75" s="247">
        <f t="shared" si="50"/>
        <v>-56.800000000000097</v>
      </c>
      <c r="S75" s="247">
        <f t="shared" si="50"/>
        <v>-56.800000000000097</v>
      </c>
      <c r="T75" s="247">
        <f t="shared" si="50"/>
        <v>-56.800000000000097</v>
      </c>
      <c r="U75" s="247">
        <f t="shared" si="50"/>
        <v>-57.600000000000101</v>
      </c>
      <c r="V75" s="247">
        <f t="shared" si="50"/>
        <v>-58.400000000000105</v>
      </c>
      <c r="W75" s="247">
        <f t="shared" si="50"/>
        <v>-59.200000000000109</v>
      </c>
      <c r="X75" s="247">
        <f t="shared" si="50"/>
        <v>-60.000000000000114</v>
      </c>
      <c r="Y75" s="247">
        <f t="shared" si="50"/>
        <v>-60.000000000000114</v>
      </c>
      <c r="Z75" s="247">
        <f t="shared" si="50"/>
        <v>-60.000000000000114</v>
      </c>
      <c r="AA75" s="247">
        <f t="shared" si="50"/>
        <v>-60.000000000000114</v>
      </c>
      <c r="AB75" s="247">
        <f t="shared" si="50"/>
        <v>-60.000000000000114</v>
      </c>
      <c r="AC75" s="247">
        <f t="shared" si="50"/>
        <v>-60.800000000000118</v>
      </c>
      <c r="AD75" s="247">
        <f t="shared" si="50"/>
        <v>-61.600000000000115</v>
      </c>
      <c r="AE75" s="247">
        <f t="shared" si="50"/>
        <v>-62.400000000000112</v>
      </c>
      <c r="AF75" s="247">
        <f t="shared" si="50"/>
        <v>-63.200000000000117</v>
      </c>
      <c r="AG75" s="247">
        <f t="shared" si="50"/>
        <v>-63.200000000000117</v>
      </c>
      <c r="AH75" s="247">
        <f t="shared" si="50"/>
        <v>-63.200000000000117</v>
      </c>
      <c r="AI75" s="247">
        <f t="shared" si="50"/>
        <v>-64.000000000000128</v>
      </c>
      <c r="AJ75" s="247">
        <f t="shared" si="50"/>
        <v>-64.800000000000125</v>
      </c>
      <c r="AK75" s="247">
        <f t="shared" si="50"/>
        <v>-65.600000000000122</v>
      </c>
      <c r="AL75" s="247">
        <f t="shared" si="50"/>
        <v>-65.600000000000122</v>
      </c>
      <c r="AM75" s="292">
        <f>AL75</f>
        <v>-65.600000000000122</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t="s">
        <v>83</v>
      </c>
      <c r="Z77" s="5" t="s">
        <v>207</v>
      </c>
      <c r="AA77" s="5" t="s">
        <v>385</v>
      </c>
      <c r="AB77" s="5"/>
      <c r="AC77" s="5"/>
      <c r="AD77" s="5"/>
      <c r="AE77" s="5"/>
      <c r="AF77" s="5"/>
      <c r="AG77" s="5"/>
      <c r="AH77" s="5"/>
      <c r="AI77" s="5"/>
      <c r="AJ77" s="5"/>
      <c r="AK77" s="5"/>
      <c r="AL77" s="29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297"/>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297"/>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297"/>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297"/>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297"/>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297"/>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297"/>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297"/>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297"/>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297"/>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297"/>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297"/>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302"/>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1cmiSozHptjGL6E7iEHZNb3WlmBWqCOkSNgd3QeoGunCy4kB6NlhEui4Vr5D4NSVESNGaQLQ6yav1WS4bzTg5g==" saltValue="JZ6/3taIDqUdRYqU9jZToA==" spinCount="100000" sheet="1" objects="1" scenarios="1"/>
  <mergeCells count="29">
    <mergeCell ref="AO42:AO53"/>
    <mergeCell ref="F42:F55"/>
    <mergeCell ref="F94:G94"/>
    <mergeCell ref="F88:G88"/>
    <mergeCell ref="F89:G89"/>
    <mergeCell ref="F90:G90"/>
    <mergeCell ref="F91:G91"/>
    <mergeCell ref="F92:G92"/>
    <mergeCell ref="F93:G93"/>
    <mergeCell ref="F78:G78"/>
    <mergeCell ref="F56:F68"/>
    <mergeCell ref="F74:F75"/>
    <mergeCell ref="D79:E91"/>
    <mergeCell ref="F79:G79"/>
    <mergeCell ref="F80:G80"/>
    <mergeCell ref="F81:G81"/>
    <mergeCell ref="F82:G82"/>
    <mergeCell ref="F83:G83"/>
    <mergeCell ref="F84:G84"/>
    <mergeCell ref="F85:G85"/>
    <mergeCell ref="F86:G86"/>
    <mergeCell ref="F87:G87"/>
    <mergeCell ref="F41:G41"/>
    <mergeCell ref="F14:F15"/>
    <mergeCell ref="B17:B18"/>
    <mergeCell ref="C17:C18"/>
    <mergeCell ref="F26:F28"/>
    <mergeCell ref="F30:F38"/>
    <mergeCell ref="F17:F24"/>
  </mergeCells>
  <conditionalFormatting sqref="H11:AL12">
    <cfRule type="expression" dxfId="105" priority="10">
      <formula>OR(WEEKDAY(H$12,2)=7,IF(ISERROR(VLOOKUP(H$12,Feiertagsanspruch,1,FALSE)),0,VLOOKUP(H$12,Feiertagsanspruch,1,FALSE)))</formula>
    </cfRule>
  </conditionalFormatting>
  <conditionalFormatting sqref="H17:AL24">
    <cfRule type="expression" dxfId="104" priority="11">
      <formula>OR(WEEKDAY(H$12,2)=7,IF(ISERROR(VLOOKUP(H$12,Feiertagsanspruch,1,FALSE)),0,VLOOKUP(H$12,Feiertagsanspruch,1,FALSE)))</formula>
    </cfRule>
  </conditionalFormatting>
  <conditionalFormatting sqref="H30:AL32 H35:AL38">
    <cfRule type="expression" dxfId="103" priority="4">
      <formula>H$14=0</formula>
    </cfRule>
  </conditionalFormatting>
  <conditionalFormatting sqref="H33:AL34">
    <cfRule type="expression" dxfId="102" priority="1">
      <formula>H$9=0</formula>
    </cfRule>
  </conditionalFormatting>
  <conditionalFormatting sqref="H74:AL74">
    <cfRule type="cellIs" dxfId="101" priority="8" stopIfTrue="1" operator="lessThan">
      <formula>-20</formula>
    </cfRule>
    <cfRule type="cellIs" dxfId="100" priority="9" stopIfTrue="1" operator="greaterThan">
      <formula>50</formula>
    </cfRule>
  </conditionalFormatting>
  <conditionalFormatting sqref="H75:AL75">
    <cfRule type="cellIs" dxfId="99" priority="6" stopIfTrue="1" operator="lessThan">
      <formula>-2.38095238095238</formula>
    </cfRule>
    <cfRule type="cellIs" dxfId="98" priority="7" stopIfTrue="1" operator="greaterThan">
      <formula>5.95238095238095</formula>
    </cfRule>
  </conditionalFormatting>
  <dataValidations count="14">
    <dataValidation allowBlank="1" sqref="H29:AL29" xr:uid="{8D747674-D007-417D-9325-4AFEA1ED43A6}"/>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27990470-889F-44A4-A446-35F0E9E3E129}">
      <formula1>AND(H35&lt;=H6,H35&gt;0,SUM(H30:H38)&lt;=H6,COUNTA(H29:H37)&lt;=MaxAbwesenheitenproTag,OR(H31=""))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EFA89FE8-6724-4173-ACF7-4CC951E2E654}">
      <formula1>AND(H38&lt;=H6, H38&gt;0,SUM(H30:H38)&lt;=H6,COUNTA(H30:H38)&lt;=MaxAbwesenheitenproTag,OR(H31=""))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77A39842-4516-41F6-B0A3-89A68D328F3C}">
      <formula1>AND(H37&lt;=H6, H37&gt;0,SUM(H30:H38)&lt;=H6,COUNTA(H30:H38)&lt;=MaxAbwesenheitenproTag,OR(H31=""))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541DD39A-3794-4558-9A1D-21E08B9E87C6}">
      <formula1>AND(J36&lt;=J6,J36&gt;0,SUM(J30:J38)&lt;=J6,COUNTA(J30:J38)&lt;=MaxAbwesenheitenproTag,OR(J31=""))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A2A50538-7D54-4239-AD78-A7E010C64776}">
      <formula1>AND(H36&lt;=H6,H36&gt;0,SUM(H30:H38)&lt;=H6,COUNTA(H30:H38)&lt;=MaxAbwesenheitenproTag,OR(H31=""))</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3F0A03A4-704D-48D3-8940-F70FB1F7FC31}">
      <formula1>AND(J35&lt;=J6,J35&gt;0,SUM(J30:J38)&lt;=J6,COUNTA(J29:J37)&lt;=MaxAbwesenheitenproTag,OR(J31=""))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0AB51A2F-16F7-46F7-AF66-C63976B23F48}">
      <formula1>AND(J31&lt;=100, J31&gt;0,SUM(J30:J38)&lt;=J6,COUNTA(J30:J38)&lt;=MaxAbwesenheitenproTag,OR(AND(J30="",J32="",J33="",J35="",J36="",J37="",J38="")))</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927D8306-2F45-4A46-8A23-863BC897941D}">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5B797B2D-C90B-499C-B447-B067E64AF05D}">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2871A6EA-00D4-4A85-B4A1-7C677C1CF948}">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108DCACD-FD21-401C-937A-B660FF2F1A2F}">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I34:AL34" xr:uid="{77E0BD5D-0EDA-4A0A-A569-51ABD1C6112F}">
      <formula1>AND(I9&gt;0,I34&lt;=I5,I34&gt;0,SUM(I30:I38)&lt;=I5,COUNTA(I30:I38)&lt;=MaxAbwesenheitenproTag)</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 xr:uid="{F0D1BE3E-350D-40D9-B93C-0F5901650B8C}">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61"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1CAEB084-938B-4E07-B29B-D42B9EBE9B2D}">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38E1F-83DD-4C3E-86A6-3D42ECE2E554}">
  <sheetPr>
    <tabColor theme="5" tint="0.79998168889431442"/>
    <pageSetUpPr fitToPage="1"/>
  </sheetPr>
  <dimension ref="B1:AQ99"/>
  <sheetViews>
    <sheetView showGridLines="0" showRowColHeaders="0" topLeftCell="A7" zoomScaleNormal="100" workbookViewId="0">
      <pane xSplit="7" ySplit="6" topLeftCell="H13" activePane="bottomRight" state="frozen"/>
      <selection activeCell="J79" sqref="J79"/>
      <selection pane="topRight" activeCell="J79" sqref="J79"/>
      <selection pane="bottomLeft" activeCell="J79" sqref="J79"/>
      <selection pane="bottomRight" activeCell="H17" sqref="H17"/>
    </sheetView>
  </sheetViews>
  <sheetFormatPr baseColWidth="10" defaultColWidth="11.42578125" defaultRowHeight="12.75" x14ac:dyDescent="0.2"/>
  <cols>
    <col min="1" max="1" width="1.7109375" style="10" customWidth="1"/>
    <col min="2" max="2" width="19.42578125" style="10" customWidth="1"/>
    <col min="3" max="3" width="7" style="10" customWidth="1"/>
    <col min="4" max="4" width="1" style="10" customWidth="1"/>
    <col min="5" max="5" width="4" style="10" customWidth="1"/>
    <col min="6" max="6" width="9.85546875" style="10" customWidth="1"/>
    <col min="7" max="7" width="12.28515625" style="166" customWidth="1"/>
    <col min="8" max="38" width="6" style="10" customWidth="1"/>
    <col min="39" max="39" width="6.140625" style="10" customWidth="1"/>
    <col min="40" max="40" width="7.85546875" style="10" hidden="1" customWidth="1"/>
    <col min="41" max="41" width="8.42578125" style="10" hidden="1" customWidth="1"/>
    <col min="42" max="16384" width="11.42578125" style="10"/>
  </cols>
  <sheetData>
    <row r="1" spans="2:39" hidden="1" x14ac:dyDescent="0.2">
      <c r="D1" s="166"/>
      <c r="E1" s="166"/>
      <c r="G1" s="167" t="s">
        <v>169</v>
      </c>
      <c r="H1" s="168">
        <f>IF(ISERROR(VLOOKUP(H12,Feiertagsanspruch,8,FALSE)),0,VLOOKUP(H12,Feiertagsanspruch,8,FALSE))</f>
        <v>0</v>
      </c>
      <c r="I1" s="168">
        <f t="shared" ref="I1:AL1" si="0">IF(ISERROR(VLOOKUP(I12,Feiertagsanspruch,8,FALSE)),0,VLOOKUP(I12,Feiertagsanspruch,8,FALSE))</f>
        <v>0</v>
      </c>
      <c r="J1" s="168">
        <f t="shared" si="0"/>
        <v>0</v>
      </c>
      <c r="K1" s="168">
        <f t="shared" si="0"/>
        <v>0</v>
      </c>
      <c r="L1" s="168">
        <f t="shared" si="0"/>
        <v>0</v>
      </c>
      <c r="M1" s="168">
        <f t="shared" si="0"/>
        <v>0</v>
      </c>
      <c r="N1" s="168">
        <f t="shared" si="0"/>
        <v>0</v>
      </c>
      <c r="O1" s="168">
        <f t="shared" si="0"/>
        <v>0</v>
      </c>
      <c r="P1" s="168">
        <f t="shared" si="0"/>
        <v>0</v>
      </c>
      <c r="Q1" s="168">
        <f t="shared" si="0"/>
        <v>0</v>
      </c>
      <c r="R1" s="168">
        <f t="shared" si="0"/>
        <v>0</v>
      </c>
      <c r="S1" s="168">
        <f t="shared" si="0"/>
        <v>0</v>
      </c>
      <c r="T1" s="168">
        <f t="shared" si="0"/>
        <v>0</v>
      </c>
      <c r="U1" s="168">
        <f t="shared" si="0"/>
        <v>0</v>
      </c>
      <c r="V1" s="168">
        <f t="shared" si="0"/>
        <v>0</v>
      </c>
      <c r="W1" s="168">
        <f t="shared" si="0"/>
        <v>0</v>
      </c>
      <c r="X1" s="168">
        <f t="shared" si="0"/>
        <v>0</v>
      </c>
      <c r="Y1" s="168">
        <f t="shared" si="0"/>
        <v>0</v>
      </c>
      <c r="Z1" s="168">
        <f t="shared" si="0"/>
        <v>0</v>
      </c>
      <c r="AA1" s="168">
        <f t="shared" si="0"/>
        <v>0</v>
      </c>
      <c r="AB1" s="168">
        <f t="shared" si="0"/>
        <v>0</v>
      </c>
      <c r="AC1" s="168">
        <f t="shared" si="0"/>
        <v>0</v>
      </c>
      <c r="AD1" s="168">
        <f t="shared" si="0"/>
        <v>0</v>
      </c>
      <c r="AE1" s="168">
        <f t="shared" si="0"/>
        <v>0</v>
      </c>
      <c r="AF1" s="168">
        <f t="shared" si="0"/>
        <v>0</v>
      </c>
      <c r="AG1" s="168">
        <f t="shared" si="0"/>
        <v>0</v>
      </c>
      <c r="AH1" s="168">
        <f t="shared" si="0"/>
        <v>0</v>
      </c>
      <c r="AI1" s="168">
        <f t="shared" si="0"/>
        <v>0</v>
      </c>
      <c r="AJ1" s="168">
        <f t="shared" si="0"/>
        <v>8.4</v>
      </c>
      <c r="AK1" s="168">
        <f t="shared" si="0"/>
        <v>0</v>
      </c>
      <c r="AL1" s="168">
        <f t="shared" si="0"/>
        <v>0</v>
      </c>
      <c r="AM1" s="168">
        <f>SUM(H1:AL1)</f>
        <v>8.4</v>
      </c>
    </row>
    <row r="2" spans="2:39" ht="13.5" hidden="1" x14ac:dyDescent="0.2">
      <c r="D2" s="166"/>
      <c r="E2" s="166"/>
      <c r="G2" s="169" t="s">
        <v>186</v>
      </c>
      <c r="H2" s="170">
        <f t="shared" ref="H2:AL2" si="1">H1*H9/100</f>
        <v>0</v>
      </c>
      <c r="I2" s="170">
        <f t="shared" si="1"/>
        <v>0</v>
      </c>
      <c r="J2" s="170">
        <f t="shared" si="1"/>
        <v>0</v>
      </c>
      <c r="K2" s="170">
        <f t="shared" si="1"/>
        <v>0</v>
      </c>
      <c r="L2" s="170">
        <f t="shared" si="1"/>
        <v>0</v>
      </c>
      <c r="M2" s="170">
        <f t="shared" si="1"/>
        <v>0</v>
      </c>
      <c r="N2" s="170">
        <f t="shared" si="1"/>
        <v>0</v>
      </c>
      <c r="O2" s="170">
        <f t="shared" si="1"/>
        <v>0</v>
      </c>
      <c r="P2" s="170">
        <f t="shared" si="1"/>
        <v>0</v>
      </c>
      <c r="Q2" s="170">
        <f t="shared" si="1"/>
        <v>0</v>
      </c>
      <c r="R2" s="170">
        <f t="shared" si="1"/>
        <v>0</v>
      </c>
      <c r="S2" s="170">
        <f t="shared" si="1"/>
        <v>0</v>
      </c>
      <c r="T2" s="170">
        <f t="shared" si="1"/>
        <v>0</v>
      </c>
      <c r="U2" s="170">
        <f t="shared" si="1"/>
        <v>0</v>
      </c>
      <c r="V2" s="170">
        <f t="shared" si="1"/>
        <v>0</v>
      </c>
      <c r="W2" s="170">
        <f t="shared" si="1"/>
        <v>0</v>
      </c>
      <c r="X2" s="170">
        <f t="shared" si="1"/>
        <v>0</v>
      </c>
      <c r="Y2" s="170">
        <f t="shared" si="1"/>
        <v>0</v>
      </c>
      <c r="Z2" s="170">
        <f t="shared" si="1"/>
        <v>0</v>
      </c>
      <c r="AA2" s="170">
        <f t="shared" si="1"/>
        <v>0</v>
      </c>
      <c r="AB2" s="170">
        <f t="shared" si="1"/>
        <v>0</v>
      </c>
      <c r="AC2" s="170">
        <f t="shared" si="1"/>
        <v>0</v>
      </c>
      <c r="AD2" s="170">
        <f t="shared" si="1"/>
        <v>0</v>
      </c>
      <c r="AE2" s="170">
        <f t="shared" si="1"/>
        <v>0</v>
      </c>
      <c r="AF2" s="170">
        <f t="shared" si="1"/>
        <v>0</v>
      </c>
      <c r="AG2" s="170">
        <f t="shared" si="1"/>
        <v>0</v>
      </c>
      <c r="AH2" s="170">
        <f t="shared" si="1"/>
        <v>0</v>
      </c>
      <c r="AI2" s="170">
        <f t="shared" si="1"/>
        <v>0</v>
      </c>
      <c r="AJ2" s="170">
        <f t="shared" si="1"/>
        <v>6.72</v>
      </c>
      <c r="AK2" s="170">
        <f t="shared" si="1"/>
        <v>0</v>
      </c>
      <c r="AL2" s="170">
        <f t="shared" si="1"/>
        <v>0</v>
      </c>
      <c r="AM2" s="168">
        <f>SUM(H2:AL2)</f>
        <v>6.72</v>
      </c>
    </row>
    <row r="3" spans="2:39" hidden="1" x14ac:dyDescent="0.2">
      <c r="D3" s="166"/>
      <c r="E3" s="166"/>
      <c r="G3" s="167" t="s">
        <v>171</v>
      </c>
      <c r="H3" s="171">
        <f t="shared" ref="H3:AI3" si="2">IF(OR(WEEKDAY(H$12,2)=7,H1&gt;0),0,TaginSt-H14-H4)</f>
        <v>0</v>
      </c>
      <c r="I3" s="171">
        <f t="shared" si="2"/>
        <v>0</v>
      </c>
      <c r="J3" s="171">
        <f t="shared" si="2"/>
        <v>8.4</v>
      </c>
      <c r="K3" s="171">
        <f t="shared" si="2"/>
        <v>0</v>
      </c>
      <c r="L3" s="171">
        <f t="shared" si="2"/>
        <v>0</v>
      </c>
      <c r="M3" s="171">
        <f t="shared" si="2"/>
        <v>0</v>
      </c>
      <c r="N3" s="171">
        <f t="shared" si="2"/>
        <v>0</v>
      </c>
      <c r="O3" s="171">
        <f t="shared" si="2"/>
        <v>0</v>
      </c>
      <c r="P3" s="171">
        <f t="shared" si="2"/>
        <v>0</v>
      </c>
      <c r="Q3" s="171">
        <f t="shared" si="2"/>
        <v>8.4</v>
      </c>
      <c r="R3" s="171">
        <f t="shared" si="2"/>
        <v>0</v>
      </c>
      <c r="S3" s="171">
        <f t="shared" si="2"/>
        <v>0</v>
      </c>
      <c r="T3" s="171">
        <f t="shared" si="2"/>
        <v>0</v>
      </c>
      <c r="U3" s="171">
        <f t="shared" si="2"/>
        <v>0</v>
      </c>
      <c r="V3" s="171">
        <f t="shared" si="2"/>
        <v>0</v>
      </c>
      <c r="W3" s="171">
        <f t="shared" si="2"/>
        <v>0</v>
      </c>
      <c r="X3" s="171">
        <f t="shared" si="2"/>
        <v>8.4</v>
      </c>
      <c r="Y3" s="171">
        <f t="shared" si="2"/>
        <v>0</v>
      </c>
      <c r="Z3" s="171">
        <f t="shared" si="2"/>
        <v>0</v>
      </c>
      <c r="AA3" s="171">
        <f t="shared" si="2"/>
        <v>0</v>
      </c>
      <c r="AB3" s="171">
        <f t="shared" si="2"/>
        <v>0</v>
      </c>
      <c r="AC3" s="171">
        <f t="shared" si="2"/>
        <v>0</v>
      </c>
      <c r="AD3" s="171">
        <f t="shared" si="2"/>
        <v>0</v>
      </c>
      <c r="AE3" s="171">
        <f t="shared" si="2"/>
        <v>8.4</v>
      </c>
      <c r="AF3" s="171">
        <f t="shared" si="2"/>
        <v>0</v>
      </c>
      <c r="AG3" s="171">
        <f t="shared" si="2"/>
        <v>0</v>
      </c>
      <c r="AH3" s="171">
        <f t="shared" si="2"/>
        <v>0</v>
      </c>
      <c r="AI3" s="171">
        <f t="shared" si="2"/>
        <v>0</v>
      </c>
      <c r="AJ3" s="171">
        <f>IFERROR(IF(OR(WEEKDAY(AJ$12,2)=7,AJ1&gt;0),0,TaginSt-AJ14-AJ4),0)</f>
        <v>0</v>
      </c>
      <c r="AK3" s="171">
        <f>IFERROR(IF(OR(WEEKDAY(AK$12,2)=7,AK1&gt;0),0,TaginSt-AK14-AK4),0)</f>
        <v>0</v>
      </c>
      <c r="AL3" s="171">
        <f>IFERROR(IF(OR(WEEKDAY(AL$12,2)=7,AL1&gt;0),0,TaginSt-AL14-AL4),0)</f>
        <v>8.4</v>
      </c>
      <c r="AM3" s="170">
        <f>SUM(H3:AL3)</f>
        <v>42</v>
      </c>
    </row>
    <row r="4" spans="2:39" hidden="1" x14ac:dyDescent="0.2">
      <c r="D4" s="166"/>
      <c r="E4" s="166"/>
      <c r="G4" s="167" t="s">
        <v>172</v>
      </c>
      <c r="H4" s="171">
        <f t="shared" ref="H4:AL4" si="3">IF(H14=0,0,((TaginSt-H1)-H14))</f>
        <v>1.6800000000000006</v>
      </c>
      <c r="I4" s="170">
        <f t="shared" si="3"/>
        <v>1.6800000000000006</v>
      </c>
      <c r="J4" s="170">
        <f t="shared" si="3"/>
        <v>0</v>
      </c>
      <c r="K4" s="170">
        <f t="shared" si="3"/>
        <v>0</v>
      </c>
      <c r="L4" s="170">
        <f t="shared" si="3"/>
        <v>1.6800000000000006</v>
      </c>
      <c r="M4" s="170">
        <f t="shared" si="3"/>
        <v>1.6800000000000006</v>
      </c>
      <c r="N4" s="170">
        <f t="shared" si="3"/>
        <v>1.6800000000000006</v>
      </c>
      <c r="O4" s="170">
        <f t="shared" si="3"/>
        <v>1.6800000000000006</v>
      </c>
      <c r="P4" s="170">
        <f t="shared" si="3"/>
        <v>1.6800000000000006</v>
      </c>
      <c r="Q4" s="170">
        <f t="shared" si="3"/>
        <v>0</v>
      </c>
      <c r="R4" s="170">
        <f t="shared" si="3"/>
        <v>0</v>
      </c>
      <c r="S4" s="170">
        <f t="shared" si="3"/>
        <v>1.6800000000000006</v>
      </c>
      <c r="T4" s="170">
        <f t="shared" si="3"/>
        <v>1.6800000000000006</v>
      </c>
      <c r="U4" s="170">
        <f t="shared" si="3"/>
        <v>1.6800000000000006</v>
      </c>
      <c r="V4" s="170">
        <f t="shared" si="3"/>
        <v>1.6800000000000006</v>
      </c>
      <c r="W4" s="170">
        <f t="shared" si="3"/>
        <v>1.6800000000000006</v>
      </c>
      <c r="X4" s="170">
        <f t="shared" si="3"/>
        <v>0</v>
      </c>
      <c r="Y4" s="170">
        <f t="shared" si="3"/>
        <v>0</v>
      </c>
      <c r="Z4" s="170">
        <f t="shared" si="3"/>
        <v>1.6800000000000006</v>
      </c>
      <c r="AA4" s="170">
        <f t="shared" si="3"/>
        <v>1.6800000000000006</v>
      </c>
      <c r="AB4" s="170">
        <f t="shared" si="3"/>
        <v>1.6800000000000006</v>
      </c>
      <c r="AC4" s="170">
        <f t="shared" si="3"/>
        <v>1.6800000000000006</v>
      </c>
      <c r="AD4" s="170">
        <f t="shared" si="3"/>
        <v>1.6800000000000006</v>
      </c>
      <c r="AE4" s="170">
        <f t="shared" si="3"/>
        <v>0</v>
      </c>
      <c r="AF4" s="170">
        <f t="shared" si="3"/>
        <v>0</v>
      </c>
      <c r="AG4" s="170">
        <f t="shared" si="3"/>
        <v>1.6800000000000006</v>
      </c>
      <c r="AH4" s="170">
        <f t="shared" si="3"/>
        <v>1.6800000000000006</v>
      </c>
      <c r="AI4" s="170">
        <f t="shared" si="3"/>
        <v>1.6800000000000006</v>
      </c>
      <c r="AJ4" s="170">
        <f t="shared" si="3"/>
        <v>0</v>
      </c>
      <c r="AK4" s="170">
        <f t="shared" si="3"/>
        <v>1.6800000000000006</v>
      </c>
      <c r="AL4" s="170">
        <f t="shared" si="3"/>
        <v>0</v>
      </c>
      <c r="AM4" s="170">
        <f>SUM(H4:AL4)</f>
        <v>35.28</v>
      </c>
    </row>
    <row r="5" spans="2:39" hidden="1" x14ac:dyDescent="0.2">
      <c r="D5" s="166"/>
      <c r="E5" s="166"/>
      <c r="G5" s="169" t="s">
        <v>259</v>
      </c>
      <c r="H5" s="171">
        <f>IFERROR(100/H9,0)</f>
        <v>1.25</v>
      </c>
      <c r="I5" s="171">
        <f t="shared" ref="I5:AL5" si="4">IFERROR(100/I9,0)</f>
        <v>1.25</v>
      </c>
      <c r="J5" s="171">
        <f t="shared" si="4"/>
        <v>1.25</v>
      </c>
      <c r="K5" s="171">
        <f t="shared" si="4"/>
        <v>1.25</v>
      </c>
      <c r="L5" s="171">
        <f t="shared" si="4"/>
        <v>1.25</v>
      </c>
      <c r="M5" s="171">
        <f t="shared" si="4"/>
        <v>1.25</v>
      </c>
      <c r="N5" s="171">
        <f t="shared" si="4"/>
        <v>1.25</v>
      </c>
      <c r="O5" s="171">
        <f t="shared" si="4"/>
        <v>1.25</v>
      </c>
      <c r="P5" s="171">
        <f t="shared" si="4"/>
        <v>1.25</v>
      </c>
      <c r="Q5" s="171">
        <f t="shared" si="4"/>
        <v>1.25</v>
      </c>
      <c r="R5" s="171">
        <f t="shared" si="4"/>
        <v>1.25</v>
      </c>
      <c r="S5" s="171">
        <f t="shared" si="4"/>
        <v>1.25</v>
      </c>
      <c r="T5" s="171">
        <f t="shared" si="4"/>
        <v>1.25</v>
      </c>
      <c r="U5" s="171">
        <f t="shared" si="4"/>
        <v>1.25</v>
      </c>
      <c r="V5" s="171">
        <f t="shared" si="4"/>
        <v>1.25</v>
      </c>
      <c r="W5" s="171">
        <f t="shared" si="4"/>
        <v>1.25</v>
      </c>
      <c r="X5" s="171">
        <f t="shared" si="4"/>
        <v>1.25</v>
      </c>
      <c r="Y5" s="171">
        <f t="shared" si="4"/>
        <v>1.25</v>
      </c>
      <c r="Z5" s="171">
        <f t="shared" si="4"/>
        <v>1.25</v>
      </c>
      <c r="AA5" s="171">
        <f t="shared" si="4"/>
        <v>1.25</v>
      </c>
      <c r="AB5" s="171">
        <f t="shared" si="4"/>
        <v>1.25</v>
      </c>
      <c r="AC5" s="171">
        <f t="shared" si="4"/>
        <v>1.25</v>
      </c>
      <c r="AD5" s="171">
        <f t="shared" si="4"/>
        <v>1.25</v>
      </c>
      <c r="AE5" s="171">
        <f t="shared" si="4"/>
        <v>1.25</v>
      </c>
      <c r="AF5" s="171">
        <f t="shared" si="4"/>
        <v>1.25</v>
      </c>
      <c r="AG5" s="171">
        <f t="shared" si="4"/>
        <v>1.25</v>
      </c>
      <c r="AH5" s="171">
        <f t="shared" si="4"/>
        <v>1.25</v>
      </c>
      <c r="AI5" s="171">
        <f t="shared" si="4"/>
        <v>1.25</v>
      </c>
      <c r="AJ5" s="171">
        <f t="shared" si="4"/>
        <v>1.25</v>
      </c>
      <c r="AK5" s="171">
        <f t="shared" si="4"/>
        <v>1.25</v>
      </c>
      <c r="AL5" s="171">
        <f t="shared" si="4"/>
        <v>1.25</v>
      </c>
      <c r="AM5" s="170"/>
    </row>
    <row r="6" spans="2:39" hidden="1" x14ac:dyDescent="0.2">
      <c r="D6" s="166"/>
      <c r="E6" s="166"/>
      <c r="F6" s="172" t="s">
        <v>7</v>
      </c>
      <c r="G6" s="173" t="s">
        <v>107</v>
      </c>
      <c r="H6" s="174">
        <f t="shared" ref="H6:AI6" si="5">IF(AND(H7=1,H9&gt;0,WEEKDAY(H12,2)&lt;6),(TaginSt-H1)/TaginSt,0)</f>
        <v>1</v>
      </c>
      <c r="I6" s="174">
        <f t="shared" si="5"/>
        <v>1</v>
      </c>
      <c r="J6" s="174">
        <f t="shared" si="5"/>
        <v>0</v>
      </c>
      <c r="K6" s="174">
        <f t="shared" si="5"/>
        <v>0</v>
      </c>
      <c r="L6" s="174">
        <f t="shared" si="5"/>
        <v>1</v>
      </c>
      <c r="M6" s="174">
        <f t="shared" si="5"/>
        <v>1</v>
      </c>
      <c r="N6" s="174">
        <f t="shared" si="5"/>
        <v>1</v>
      </c>
      <c r="O6" s="174">
        <f t="shared" si="5"/>
        <v>1</v>
      </c>
      <c r="P6" s="174">
        <f t="shared" si="5"/>
        <v>1</v>
      </c>
      <c r="Q6" s="174">
        <f t="shared" si="5"/>
        <v>0</v>
      </c>
      <c r="R6" s="174">
        <f t="shared" si="5"/>
        <v>0</v>
      </c>
      <c r="S6" s="174">
        <f t="shared" si="5"/>
        <v>1</v>
      </c>
      <c r="T6" s="174">
        <f t="shared" si="5"/>
        <v>1</v>
      </c>
      <c r="U6" s="174">
        <f t="shared" si="5"/>
        <v>1</v>
      </c>
      <c r="V6" s="174">
        <f t="shared" si="5"/>
        <v>1</v>
      </c>
      <c r="W6" s="174">
        <f t="shared" si="5"/>
        <v>1</v>
      </c>
      <c r="X6" s="174">
        <f t="shared" si="5"/>
        <v>0</v>
      </c>
      <c r="Y6" s="174">
        <f t="shared" si="5"/>
        <v>0</v>
      </c>
      <c r="Z6" s="174">
        <f t="shared" si="5"/>
        <v>1</v>
      </c>
      <c r="AA6" s="174">
        <f t="shared" si="5"/>
        <v>1</v>
      </c>
      <c r="AB6" s="174">
        <f t="shared" si="5"/>
        <v>1</v>
      </c>
      <c r="AC6" s="174">
        <f t="shared" si="5"/>
        <v>1</v>
      </c>
      <c r="AD6" s="174">
        <f t="shared" si="5"/>
        <v>1</v>
      </c>
      <c r="AE6" s="174">
        <f t="shared" si="5"/>
        <v>0</v>
      </c>
      <c r="AF6" s="174">
        <f t="shared" si="5"/>
        <v>0</v>
      </c>
      <c r="AG6" s="174">
        <f t="shared" si="5"/>
        <v>1</v>
      </c>
      <c r="AH6" s="174">
        <f t="shared" si="5"/>
        <v>1</v>
      </c>
      <c r="AI6" s="174">
        <f t="shared" si="5"/>
        <v>1</v>
      </c>
      <c r="AJ6" s="174">
        <f>IFERROR(IF(AND(AJ7=1,AJ9&gt;0,WEEKDAY(AJ12,2)&lt;6),(TaginSt-AJ1)/TaginSt,0),0)</f>
        <v>0</v>
      </c>
      <c r="AK6" s="174">
        <f>IFERROR(IF(AND(AK7=1,AK9&gt;0,WEEKDAY(AK12,2)&lt;6),(TaginSt-AK1)/TaginSt,0),0)</f>
        <v>1</v>
      </c>
      <c r="AL6" s="174">
        <f>IFERROR(IF(AND(AL7=1,AL9&gt;0,WEEKDAY(AL12,2)&lt;6),(TaginSt-AL1)/TaginSt,0),0)</f>
        <v>0</v>
      </c>
      <c r="AM6" s="175"/>
    </row>
    <row r="7" spans="2:39" hidden="1" x14ac:dyDescent="0.2">
      <c r="F7" s="176">
        <v>5</v>
      </c>
      <c r="G7" s="173" t="s">
        <v>78</v>
      </c>
      <c r="H7" s="177">
        <f t="shared" ref="H7:AL7" si="6">IF(AND(H12&gt;=DATE(Jahr,DUAM1,DUAT1),H12&lt;=DATE(Jahr,DUEM1,DUET1)),1,IF(AND(H12&gt;=DATE(Jahr,DUAM2,DUAT2),H12&lt;=DATE(Jahr,DUEM2,DUET2)),1,IF(AND(H12&gt;=DATE(Jahr,DUAM3,DUAT3),H12&lt;=DATE(Jahr,DUEM3,DUET3)),1,IF(AND(H12&gt;=DATE(Jahr,DUAM4,DUAT4),H12&lt;=DATE(Jahr,DUEM4,DUET4)),1,IF(AND(H12&gt;=DATE(Jahr,DUAM5,DUAT5),H12&lt;=DATE(Jahr,DUEM5,DUET5)),1,0)))))</f>
        <v>1</v>
      </c>
      <c r="I7" s="177">
        <f t="shared" si="6"/>
        <v>1</v>
      </c>
      <c r="J7" s="177">
        <f t="shared" si="6"/>
        <v>1</v>
      </c>
      <c r="K7" s="177">
        <f t="shared" si="6"/>
        <v>1</v>
      </c>
      <c r="L7" s="177">
        <f t="shared" si="6"/>
        <v>1</v>
      </c>
      <c r="M7" s="177">
        <f t="shared" si="6"/>
        <v>1</v>
      </c>
      <c r="N7" s="177">
        <f t="shared" si="6"/>
        <v>1</v>
      </c>
      <c r="O7" s="177">
        <f t="shared" si="6"/>
        <v>1</v>
      </c>
      <c r="P7" s="177">
        <f t="shared" si="6"/>
        <v>1</v>
      </c>
      <c r="Q7" s="177">
        <f t="shared" si="6"/>
        <v>1</v>
      </c>
      <c r="R7" s="177">
        <f t="shared" si="6"/>
        <v>1</v>
      </c>
      <c r="S7" s="177">
        <f t="shared" si="6"/>
        <v>1</v>
      </c>
      <c r="T7" s="177">
        <f t="shared" si="6"/>
        <v>1</v>
      </c>
      <c r="U7" s="177">
        <f t="shared" si="6"/>
        <v>1</v>
      </c>
      <c r="V7" s="177">
        <f t="shared" si="6"/>
        <v>1</v>
      </c>
      <c r="W7" s="177">
        <f t="shared" si="6"/>
        <v>1</v>
      </c>
      <c r="X7" s="177">
        <f t="shared" si="6"/>
        <v>1</v>
      </c>
      <c r="Y7" s="177">
        <f t="shared" si="6"/>
        <v>1</v>
      </c>
      <c r="Z7" s="177">
        <f t="shared" si="6"/>
        <v>1</v>
      </c>
      <c r="AA7" s="177">
        <f t="shared" si="6"/>
        <v>1</v>
      </c>
      <c r="AB7" s="177">
        <f t="shared" si="6"/>
        <v>1</v>
      </c>
      <c r="AC7" s="177">
        <f t="shared" si="6"/>
        <v>1</v>
      </c>
      <c r="AD7" s="177">
        <f t="shared" si="6"/>
        <v>1</v>
      </c>
      <c r="AE7" s="177">
        <f t="shared" si="6"/>
        <v>1</v>
      </c>
      <c r="AF7" s="177">
        <f t="shared" si="6"/>
        <v>1</v>
      </c>
      <c r="AG7" s="177">
        <f t="shared" si="6"/>
        <v>1</v>
      </c>
      <c r="AH7" s="177">
        <f t="shared" si="6"/>
        <v>1</v>
      </c>
      <c r="AI7" s="177">
        <f t="shared" si="6"/>
        <v>1</v>
      </c>
      <c r="AJ7" s="177">
        <f t="shared" si="6"/>
        <v>1</v>
      </c>
      <c r="AK7" s="177">
        <f t="shared" si="6"/>
        <v>1</v>
      </c>
      <c r="AL7" s="177">
        <f t="shared" si="6"/>
        <v>1</v>
      </c>
      <c r="AM7" s="177">
        <f>SUM(H7:AL7)</f>
        <v>31</v>
      </c>
    </row>
    <row r="8" spans="2:39" ht="9" customHeight="1" x14ac:dyDescent="0.2">
      <c r="F8" s="178"/>
      <c r="G8" s="179"/>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row>
    <row r="9" spans="2:39" x14ac:dyDescent="0.2">
      <c r="G9" s="180" t="s">
        <v>108</v>
      </c>
      <c r="H9" s="181">
        <f t="shared" ref="H9:AL9" si="7">IF(AND(H12&gt;=DATE(Jahr,DUAM1,DUAT1),H12&lt;=DATE(Jahr,DUEM1,DUET1)),BGrad1*100,IF(AND(H12&gt;=DATE(Jahr,DUAM2,DUAT2),H12&lt;=DATE(Jahr,DUEM2,DUET2)),BGrad2*100,IF(AND(H12&gt;=DATE(Jahr,DUAM3,DUAT3),H12&lt;=DATE(Jahr,DUEM3,DUET3)),BGrad3*100,IF(AND(H12&gt;=DATE(Jahr,DUAM4,DUAT4),H12&lt;=DATE(Jahr,DUEM4,DUET4)),BGrad4*100,IF(AND(H12&gt;=DATE(Jahr,DUAM5,DUAT5),H12&lt;=DATE(Jahr,DUEM5,DUET5)),BGrad5*100,0)))))</f>
        <v>80</v>
      </c>
      <c r="I9" s="181">
        <f t="shared" si="7"/>
        <v>80</v>
      </c>
      <c r="J9" s="181">
        <f t="shared" si="7"/>
        <v>80</v>
      </c>
      <c r="K9" s="181">
        <f t="shared" si="7"/>
        <v>80</v>
      </c>
      <c r="L9" s="181">
        <f t="shared" si="7"/>
        <v>80</v>
      </c>
      <c r="M9" s="181">
        <f t="shared" si="7"/>
        <v>80</v>
      </c>
      <c r="N9" s="181">
        <f t="shared" si="7"/>
        <v>80</v>
      </c>
      <c r="O9" s="181">
        <f t="shared" si="7"/>
        <v>80</v>
      </c>
      <c r="P9" s="181">
        <f t="shared" si="7"/>
        <v>80</v>
      </c>
      <c r="Q9" s="181">
        <f t="shared" si="7"/>
        <v>80</v>
      </c>
      <c r="R9" s="181">
        <f t="shared" si="7"/>
        <v>80</v>
      </c>
      <c r="S9" s="181">
        <f t="shared" si="7"/>
        <v>80</v>
      </c>
      <c r="T9" s="181">
        <f t="shared" si="7"/>
        <v>80</v>
      </c>
      <c r="U9" s="181">
        <f t="shared" si="7"/>
        <v>80</v>
      </c>
      <c r="V9" s="181">
        <f t="shared" si="7"/>
        <v>80</v>
      </c>
      <c r="W9" s="181">
        <f t="shared" si="7"/>
        <v>80</v>
      </c>
      <c r="X9" s="181">
        <f t="shared" si="7"/>
        <v>80</v>
      </c>
      <c r="Y9" s="181">
        <f t="shared" si="7"/>
        <v>80</v>
      </c>
      <c r="Z9" s="181">
        <f t="shared" si="7"/>
        <v>80</v>
      </c>
      <c r="AA9" s="181">
        <f t="shared" si="7"/>
        <v>80</v>
      </c>
      <c r="AB9" s="181">
        <f t="shared" si="7"/>
        <v>80</v>
      </c>
      <c r="AC9" s="181">
        <f t="shared" si="7"/>
        <v>80</v>
      </c>
      <c r="AD9" s="181">
        <f t="shared" si="7"/>
        <v>80</v>
      </c>
      <c r="AE9" s="181">
        <f t="shared" si="7"/>
        <v>80</v>
      </c>
      <c r="AF9" s="181">
        <f t="shared" si="7"/>
        <v>80</v>
      </c>
      <c r="AG9" s="181">
        <f t="shared" si="7"/>
        <v>80</v>
      </c>
      <c r="AH9" s="181">
        <f t="shared" si="7"/>
        <v>80</v>
      </c>
      <c r="AI9" s="181">
        <f t="shared" si="7"/>
        <v>80</v>
      </c>
      <c r="AJ9" s="181">
        <f t="shared" si="7"/>
        <v>80</v>
      </c>
      <c r="AK9" s="181">
        <f t="shared" si="7"/>
        <v>80</v>
      </c>
      <c r="AL9" s="181">
        <f t="shared" si="7"/>
        <v>80</v>
      </c>
      <c r="AM9" s="182"/>
    </row>
    <row r="10" spans="2:39" ht="1.5" customHeight="1" thickBot="1" x14ac:dyDescent="0.25">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row>
    <row r="11" spans="2:39" ht="12.75" customHeight="1" x14ac:dyDescent="0.2">
      <c r="B11" s="183" t="str">
        <f>TEXT(H12,"MMMM")</f>
        <v>Mai</v>
      </c>
      <c r="C11" s="184">
        <f>Jahr</f>
        <v>2025</v>
      </c>
      <c r="D11" s="166"/>
      <c r="E11" s="166"/>
      <c r="F11" s="185"/>
      <c r="G11" s="186"/>
      <c r="H11" s="187" t="str">
        <f>TEXT(H12,"TTT")</f>
        <v>Do</v>
      </c>
      <c r="I11" s="188" t="str">
        <f>TEXT(I12,"TTT")</f>
        <v>Fr</v>
      </c>
      <c r="J11" s="188" t="str">
        <f t="shared" ref="J11:L11" si="8">TEXT(J12,"TTT")</f>
        <v>Sa</v>
      </c>
      <c r="K11" s="188" t="str">
        <f t="shared" si="8"/>
        <v>So</v>
      </c>
      <c r="L11" s="188" t="str">
        <f t="shared" si="8"/>
        <v>Mo</v>
      </c>
      <c r="M11" s="188" t="str">
        <f>TEXT(M12,"TTT")</f>
        <v>Di</v>
      </c>
      <c r="N11" s="188" t="str">
        <f t="shared" ref="N11:AL11" si="9">TEXT(N12,"TTT")</f>
        <v>Mi</v>
      </c>
      <c r="O11" s="188" t="str">
        <f t="shared" si="9"/>
        <v>Do</v>
      </c>
      <c r="P11" s="188" t="str">
        <f t="shared" si="9"/>
        <v>Fr</v>
      </c>
      <c r="Q11" s="188" t="str">
        <f t="shared" si="9"/>
        <v>Sa</v>
      </c>
      <c r="R11" s="188" t="str">
        <f t="shared" si="9"/>
        <v>So</v>
      </c>
      <c r="S11" s="188" t="str">
        <f t="shared" si="9"/>
        <v>Mo</v>
      </c>
      <c r="T11" s="188" t="str">
        <f t="shared" si="9"/>
        <v>Di</v>
      </c>
      <c r="U11" s="188" t="str">
        <f t="shared" si="9"/>
        <v>Mi</v>
      </c>
      <c r="V11" s="188" t="str">
        <f t="shared" si="9"/>
        <v>Do</v>
      </c>
      <c r="W11" s="188" t="str">
        <f t="shared" si="9"/>
        <v>Fr</v>
      </c>
      <c r="X11" s="188" t="str">
        <f t="shared" si="9"/>
        <v>Sa</v>
      </c>
      <c r="Y11" s="188" t="str">
        <f t="shared" si="9"/>
        <v>So</v>
      </c>
      <c r="Z11" s="188" t="str">
        <f t="shared" si="9"/>
        <v>Mo</v>
      </c>
      <c r="AA11" s="188" t="str">
        <f t="shared" si="9"/>
        <v>Di</v>
      </c>
      <c r="AB11" s="188" t="str">
        <f t="shared" si="9"/>
        <v>Mi</v>
      </c>
      <c r="AC11" s="188" t="str">
        <f t="shared" si="9"/>
        <v>Do</v>
      </c>
      <c r="AD11" s="188" t="str">
        <f t="shared" si="9"/>
        <v>Fr</v>
      </c>
      <c r="AE11" s="188" t="str">
        <f t="shared" si="9"/>
        <v>Sa</v>
      </c>
      <c r="AF11" s="188" t="str">
        <f t="shared" si="9"/>
        <v>So</v>
      </c>
      <c r="AG11" s="188" t="str">
        <f t="shared" si="9"/>
        <v>Mo</v>
      </c>
      <c r="AH11" s="188" t="str">
        <f t="shared" si="9"/>
        <v>Di</v>
      </c>
      <c r="AI11" s="188" t="str">
        <f t="shared" si="9"/>
        <v>Mi</v>
      </c>
      <c r="AJ11" s="188" t="str">
        <f t="shared" si="9"/>
        <v>Do</v>
      </c>
      <c r="AK11" s="188" t="str">
        <f t="shared" si="9"/>
        <v>Fr</v>
      </c>
      <c r="AL11" s="188" t="str">
        <f t="shared" si="9"/>
        <v>Sa</v>
      </c>
      <c r="AM11" s="188"/>
    </row>
    <row r="12" spans="2:39" ht="12.75" customHeight="1" thickBot="1" x14ac:dyDescent="0.25">
      <c r="B12" s="189" t="str">
        <f>Pfarrer</f>
        <v>Heinz Muster</v>
      </c>
      <c r="C12" s="190"/>
      <c r="D12" s="191"/>
      <c r="E12" s="191"/>
      <c r="F12" s="185"/>
      <c r="G12" s="192" t="s">
        <v>2</v>
      </c>
      <c r="H12" s="193">
        <f>DATE(C11,F7,1)</f>
        <v>44316</v>
      </c>
      <c r="I12" s="194">
        <f>DATE(C11,F7,2)</f>
        <v>44317</v>
      </c>
      <c r="J12" s="194">
        <f>DATE(C11,F7,3)</f>
        <v>44318</v>
      </c>
      <c r="K12" s="194">
        <f>DATE(C11,F7,4)</f>
        <v>44319</v>
      </c>
      <c r="L12" s="194">
        <f>DATE(C11,F7,5)</f>
        <v>44320</v>
      </c>
      <c r="M12" s="194">
        <f>DATE(C11,F7,6)</f>
        <v>44321</v>
      </c>
      <c r="N12" s="194">
        <f>DATE(C11,F7,7)</f>
        <v>44322</v>
      </c>
      <c r="O12" s="194">
        <f>DATE(C11,F7,8)</f>
        <v>44323</v>
      </c>
      <c r="P12" s="194">
        <f>DATE(C11,F7,9)</f>
        <v>44324</v>
      </c>
      <c r="Q12" s="194">
        <f>DATE(C11,F7,10)</f>
        <v>44325</v>
      </c>
      <c r="R12" s="194">
        <f>DATE(C11,F7,11)</f>
        <v>44326</v>
      </c>
      <c r="S12" s="194">
        <f>DATE(C11,F7,12)</f>
        <v>44327</v>
      </c>
      <c r="T12" s="194">
        <f>DATE(C11,F7,13)</f>
        <v>44328</v>
      </c>
      <c r="U12" s="194">
        <f>DATE(C11,F7,14)</f>
        <v>44329</v>
      </c>
      <c r="V12" s="194">
        <f>DATE(C11,F7,15)</f>
        <v>44330</v>
      </c>
      <c r="W12" s="194">
        <f>DATE(C11,F7,16)</f>
        <v>44331</v>
      </c>
      <c r="X12" s="194">
        <f>DATE(C11,F7,17)</f>
        <v>44332</v>
      </c>
      <c r="Y12" s="194">
        <f>DATE(C11,F7,18)</f>
        <v>44333</v>
      </c>
      <c r="Z12" s="194">
        <f>DATE(C11,F7,19)</f>
        <v>44334</v>
      </c>
      <c r="AA12" s="194">
        <f>DATE(C11,F7,20)</f>
        <v>44335</v>
      </c>
      <c r="AB12" s="194">
        <f>DATE(C11,F7,21)</f>
        <v>44336</v>
      </c>
      <c r="AC12" s="194">
        <f>DATE(C11,F7,22)</f>
        <v>44337</v>
      </c>
      <c r="AD12" s="194">
        <f>DATE(C11,F7,23)</f>
        <v>44338</v>
      </c>
      <c r="AE12" s="194">
        <f>DATE(C11,F7,24)</f>
        <v>44339</v>
      </c>
      <c r="AF12" s="194">
        <f>DATE(C11,F7,25)</f>
        <v>44340</v>
      </c>
      <c r="AG12" s="194">
        <f>DATE(C11,F7,26)</f>
        <v>44341</v>
      </c>
      <c r="AH12" s="194">
        <f>DATE(C11,F7,27)</f>
        <v>44342</v>
      </c>
      <c r="AI12" s="194">
        <f>DATE(C11,F7,28)</f>
        <v>44343</v>
      </c>
      <c r="AJ12" s="194">
        <f>IFERROR(IF(MONTH(AI12+1)=MONTH($H$12),AI$12+1,""),"")</f>
        <v>44344</v>
      </c>
      <c r="AK12" s="194">
        <f>IFERROR(IF(MONTH(AJ12+1)=MONTH($H$12),AJ$12+1,""),"")</f>
        <v>44345</v>
      </c>
      <c r="AL12" s="194">
        <f>IFERROR(IF(MONTH(AK12+1)=MONTH($H$12),AK$12+1,""),"")</f>
        <v>44346</v>
      </c>
      <c r="AM12" s="195"/>
    </row>
    <row r="13" spans="2:39" ht="2.1" customHeight="1" x14ac:dyDescent="0.2">
      <c r="D13" s="191"/>
      <c r="E13" s="196"/>
      <c r="F13" s="197"/>
      <c r="G13" s="198"/>
      <c r="H13" s="199"/>
      <c r="I13" s="200"/>
      <c r="J13" s="200"/>
      <c r="K13" s="200"/>
      <c r="L13" s="200"/>
      <c r="M13" s="200"/>
      <c r="N13" s="200"/>
      <c r="O13" s="200"/>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row>
    <row r="14" spans="2:39" ht="12.75" customHeight="1" x14ac:dyDescent="0.2">
      <c r="D14" s="202"/>
      <c r="E14" s="202"/>
      <c r="F14" s="566" t="s">
        <v>65</v>
      </c>
      <c r="G14" s="203" t="s">
        <v>56</v>
      </c>
      <c r="H14" s="204">
        <f t="shared" ref="H14:AI14" si="10">IF(OR(WEEKDAY(H12,2)&gt;=6,H7=0),0,(TaginSt-H1)*H9/100)</f>
        <v>6.72</v>
      </c>
      <c r="I14" s="204">
        <f t="shared" si="10"/>
        <v>6.72</v>
      </c>
      <c r="J14" s="204">
        <f t="shared" si="10"/>
        <v>0</v>
      </c>
      <c r="K14" s="204">
        <f t="shared" si="10"/>
        <v>0</v>
      </c>
      <c r="L14" s="204">
        <f t="shared" si="10"/>
        <v>6.72</v>
      </c>
      <c r="M14" s="204">
        <f t="shared" si="10"/>
        <v>6.72</v>
      </c>
      <c r="N14" s="204">
        <f t="shared" si="10"/>
        <v>6.72</v>
      </c>
      <c r="O14" s="204">
        <f t="shared" si="10"/>
        <v>6.72</v>
      </c>
      <c r="P14" s="204">
        <f t="shared" si="10"/>
        <v>6.72</v>
      </c>
      <c r="Q14" s="204">
        <f t="shared" si="10"/>
        <v>0</v>
      </c>
      <c r="R14" s="204">
        <f t="shared" si="10"/>
        <v>0</v>
      </c>
      <c r="S14" s="204">
        <f t="shared" si="10"/>
        <v>6.72</v>
      </c>
      <c r="T14" s="204">
        <f t="shared" si="10"/>
        <v>6.72</v>
      </c>
      <c r="U14" s="204">
        <f t="shared" si="10"/>
        <v>6.72</v>
      </c>
      <c r="V14" s="204">
        <f t="shared" si="10"/>
        <v>6.72</v>
      </c>
      <c r="W14" s="204">
        <f t="shared" si="10"/>
        <v>6.72</v>
      </c>
      <c r="X14" s="204">
        <f t="shared" si="10"/>
        <v>0</v>
      </c>
      <c r="Y14" s="204">
        <f t="shared" si="10"/>
        <v>0</v>
      </c>
      <c r="Z14" s="204">
        <f t="shared" si="10"/>
        <v>6.72</v>
      </c>
      <c r="AA14" s="204">
        <f t="shared" si="10"/>
        <v>6.72</v>
      </c>
      <c r="AB14" s="204">
        <f t="shared" si="10"/>
        <v>6.72</v>
      </c>
      <c r="AC14" s="204">
        <f t="shared" si="10"/>
        <v>6.72</v>
      </c>
      <c r="AD14" s="204">
        <f t="shared" si="10"/>
        <v>6.72</v>
      </c>
      <c r="AE14" s="204">
        <f t="shared" si="10"/>
        <v>0</v>
      </c>
      <c r="AF14" s="204">
        <f t="shared" si="10"/>
        <v>0</v>
      </c>
      <c r="AG14" s="204">
        <f t="shared" si="10"/>
        <v>6.72</v>
      </c>
      <c r="AH14" s="204">
        <f t="shared" si="10"/>
        <v>6.72</v>
      </c>
      <c r="AI14" s="204">
        <f t="shared" si="10"/>
        <v>6.72</v>
      </c>
      <c r="AJ14" s="204">
        <f>IFERROR(IF(OR(WEEKDAY(AJ12,2)&gt;=6,AJ7=0),0,(TaginSt-AJ1)*AJ9/100),0)</f>
        <v>0</v>
      </c>
      <c r="AK14" s="204">
        <f>IFERROR(IF(OR(WEEKDAY(AK12,2)&gt;=6,AK7=0),0,(TaginSt-AK1)*AK9/100),0)</f>
        <v>6.72</v>
      </c>
      <c r="AL14" s="204">
        <f>IFERROR(IF(OR(WEEKDAY(AL12,2)&gt;=6,AL7=0),0,(TaginSt-AL1)*AL9/100),0)</f>
        <v>0</v>
      </c>
      <c r="AM14" s="205">
        <f>SUM(H14:AL14)</f>
        <v>141.12</v>
      </c>
    </row>
    <row r="15" spans="2:39" ht="12.75" customHeight="1" x14ac:dyDescent="0.2">
      <c r="D15" s="202"/>
      <c r="E15" s="202"/>
      <c r="F15" s="566"/>
      <c r="G15" s="203" t="s">
        <v>136</v>
      </c>
      <c r="H15" s="204">
        <f t="shared" ref="H15:AL15" si="11">H14/TaginSt</f>
        <v>0.79999999999999993</v>
      </c>
      <c r="I15" s="206">
        <f t="shared" si="11"/>
        <v>0.79999999999999993</v>
      </c>
      <c r="J15" s="206">
        <f t="shared" si="11"/>
        <v>0</v>
      </c>
      <c r="K15" s="206">
        <f t="shared" si="11"/>
        <v>0</v>
      </c>
      <c r="L15" s="206">
        <f t="shared" si="11"/>
        <v>0.79999999999999993</v>
      </c>
      <c r="M15" s="206">
        <f t="shared" si="11"/>
        <v>0.79999999999999993</v>
      </c>
      <c r="N15" s="206">
        <f t="shared" si="11"/>
        <v>0.79999999999999993</v>
      </c>
      <c r="O15" s="206">
        <f t="shared" si="11"/>
        <v>0.79999999999999993</v>
      </c>
      <c r="P15" s="206">
        <f t="shared" si="11"/>
        <v>0.79999999999999993</v>
      </c>
      <c r="Q15" s="206">
        <f t="shared" si="11"/>
        <v>0</v>
      </c>
      <c r="R15" s="206">
        <f t="shared" si="11"/>
        <v>0</v>
      </c>
      <c r="S15" s="206">
        <f t="shared" si="11"/>
        <v>0.79999999999999993</v>
      </c>
      <c r="T15" s="206">
        <f t="shared" si="11"/>
        <v>0.79999999999999993</v>
      </c>
      <c r="U15" s="206">
        <f t="shared" si="11"/>
        <v>0.79999999999999993</v>
      </c>
      <c r="V15" s="206">
        <f t="shared" si="11"/>
        <v>0.79999999999999993</v>
      </c>
      <c r="W15" s="206">
        <f t="shared" si="11"/>
        <v>0.79999999999999993</v>
      </c>
      <c r="X15" s="206">
        <f t="shared" si="11"/>
        <v>0</v>
      </c>
      <c r="Y15" s="206">
        <f t="shared" si="11"/>
        <v>0</v>
      </c>
      <c r="Z15" s="206">
        <f t="shared" si="11"/>
        <v>0.79999999999999993</v>
      </c>
      <c r="AA15" s="206">
        <f t="shared" si="11"/>
        <v>0.79999999999999993</v>
      </c>
      <c r="AB15" s="206">
        <f t="shared" si="11"/>
        <v>0.79999999999999993</v>
      </c>
      <c r="AC15" s="206">
        <f t="shared" si="11"/>
        <v>0.79999999999999993</v>
      </c>
      <c r="AD15" s="206">
        <f t="shared" si="11"/>
        <v>0.79999999999999993</v>
      </c>
      <c r="AE15" s="206">
        <f t="shared" si="11"/>
        <v>0</v>
      </c>
      <c r="AF15" s="206">
        <f t="shared" si="11"/>
        <v>0</v>
      </c>
      <c r="AG15" s="206">
        <f t="shared" si="11"/>
        <v>0.79999999999999993</v>
      </c>
      <c r="AH15" s="206">
        <f t="shared" si="11"/>
        <v>0.79999999999999993</v>
      </c>
      <c r="AI15" s="206">
        <f t="shared" si="11"/>
        <v>0.79999999999999993</v>
      </c>
      <c r="AJ15" s="206">
        <f t="shared" si="11"/>
        <v>0</v>
      </c>
      <c r="AK15" s="206">
        <f t="shared" si="11"/>
        <v>0.79999999999999993</v>
      </c>
      <c r="AL15" s="206">
        <f t="shared" si="11"/>
        <v>0</v>
      </c>
      <c r="AM15" s="205">
        <f>SUM(H15:AL15)</f>
        <v>16.800000000000004</v>
      </c>
    </row>
    <row r="16" spans="2:39" ht="2.1" customHeight="1" thickBot="1" x14ac:dyDescent="0.25">
      <c r="D16" s="191"/>
      <c r="E16" s="191"/>
      <c r="F16" s="207"/>
      <c r="G16" s="208"/>
      <c r="H16" s="209"/>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10"/>
    </row>
    <row r="17" spans="2:39" ht="12.75" customHeight="1" x14ac:dyDescent="0.2">
      <c r="B17" s="567" t="s">
        <v>109</v>
      </c>
      <c r="C17" s="575">
        <f>SaldoStdEndeApr</f>
        <v>-551.0400000000011</v>
      </c>
      <c r="D17" s="211"/>
      <c r="E17" s="211"/>
      <c r="F17" s="570" t="s">
        <v>114</v>
      </c>
      <c r="G17" s="212" t="s">
        <v>25</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86"/>
      <c r="AM17" s="215"/>
    </row>
    <row r="18" spans="2:39" ht="12.75" customHeight="1" thickBot="1" x14ac:dyDescent="0.25">
      <c r="B18" s="568"/>
      <c r="C18" s="576"/>
      <c r="D18" s="211"/>
      <c r="E18" s="211"/>
      <c r="F18" s="571"/>
      <c r="G18" s="216" t="s">
        <v>61</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87"/>
      <c r="AM18" s="219"/>
    </row>
    <row r="19" spans="2:39" ht="12.75" customHeight="1" x14ac:dyDescent="0.2">
      <c r="D19" s="211"/>
      <c r="E19" s="211"/>
      <c r="F19" s="571"/>
      <c r="G19" s="220" t="s">
        <v>25</v>
      </c>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88"/>
      <c r="AM19" s="219"/>
    </row>
    <row r="20" spans="2:39" ht="12.75" customHeight="1" thickBot="1" x14ac:dyDescent="0.25">
      <c r="D20" s="211"/>
      <c r="E20" s="211"/>
      <c r="F20" s="571"/>
      <c r="G20" s="216" t="s">
        <v>61</v>
      </c>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87"/>
      <c r="AM20" s="219"/>
    </row>
    <row r="21" spans="2:39" ht="12.75" customHeight="1" thickBot="1" x14ac:dyDescent="0.25">
      <c r="B21" s="223" t="s">
        <v>190</v>
      </c>
      <c r="C21" s="224"/>
      <c r="D21" s="211"/>
      <c r="E21" s="211"/>
      <c r="F21" s="571"/>
      <c r="G21" s="220" t="s">
        <v>25</v>
      </c>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88"/>
      <c r="AM21" s="219"/>
    </row>
    <row r="22" spans="2:39" ht="12.75" customHeight="1" x14ac:dyDescent="0.2">
      <c r="B22" s="225" t="s">
        <v>111</v>
      </c>
      <c r="C22" s="226">
        <f>C23/(TaginSt*JahresBG)</f>
        <v>24.999999999999996</v>
      </c>
      <c r="D22" s="211"/>
      <c r="E22" s="211"/>
      <c r="F22" s="571"/>
      <c r="G22" s="227" t="s">
        <v>61</v>
      </c>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89"/>
      <c r="AM22" s="219"/>
    </row>
    <row r="23" spans="2:39" ht="12.75" customHeight="1" thickBot="1" x14ac:dyDescent="0.25">
      <c r="B23" s="230" t="s">
        <v>110</v>
      </c>
      <c r="C23" s="231">
        <f>Apr!C23-AM42</f>
        <v>168</v>
      </c>
      <c r="D23" s="211"/>
      <c r="E23" s="211"/>
      <c r="F23" s="571"/>
      <c r="G23" s="203" t="s">
        <v>189</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90"/>
      <c r="AM23" s="234"/>
    </row>
    <row r="24" spans="2:39" ht="12.75" customHeight="1" x14ac:dyDescent="0.2">
      <c r="D24" s="211"/>
      <c r="E24" s="211"/>
      <c r="F24" s="571"/>
      <c r="G24" s="235" t="s">
        <v>76</v>
      </c>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91"/>
      <c r="AM24" s="238"/>
    </row>
    <row r="25" spans="2:39" ht="2.1" customHeight="1" thickBot="1" x14ac:dyDescent="0.25">
      <c r="B25" s="239"/>
      <c r="D25" s="211"/>
      <c r="E25" s="211"/>
      <c r="F25" s="240"/>
      <c r="G25" s="241"/>
      <c r="H25" s="242"/>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4"/>
      <c r="AM25" s="245"/>
    </row>
    <row r="26" spans="2:39" ht="12.75" customHeight="1" thickBot="1" x14ac:dyDescent="0.25">
      <c r="B26" s="223" t="s">
        <v>212</v>
      </c>
      <c r="C26" s="224"/>
      <c r="D26" s="246"/>
      <c r="E26" s="246"/>
      <c r="F26" s="569" t="s">
        <v>64</v>
      </c>
      <c r="G26" s="188" t="s">
        <v>27</v>
      </c>
      <c r="H26" s="247">
        <f t="shared" ref="H26:AL26" si="12">((H18-H17)*24)+((H20-H19)*24)+((H22-H21)*24)+H23+(H24*TaginSt)+SUM(H42:H50)</f>
        <v>0</v>
      </c>
      <c r="I26" s="247">
        <f t="shared" si="12"/>
        <v>0</v>
      </c>
      <c r="J26" s="247">
        <f t="shared" si="12"/>
        <v>0</v>
      </c>
      <c r="K26" s="247">
        <f t="shared" si="12"/>
        <v>0</v>
      </c>
      <c r="L26" s="247">
        <f t="shared" si="12"/>
        <v>0</v>
      </c>
      <c r="M26" s="247">
        <f t="shared" si="12"/>
        <v>0</v>
      </c>
      <c r="N26" s="247">
        <f t="shared" si="12"/>
        <v>0</v>
      </c>
      <c r="O26" s="247">
        <f t="shared" si="12"/>
        <v>0</v>
      </c>
      <c r="P26" s="247">
        <f t="shared" si="12"/>
        <v>0</v>
      </c>
      <c r="Q26" s="247">
        <f t="shared" si="12"/>
        <v>0</v>
      </c>
      <c r="R26" s="247">
        <f t="shared" si="12"/>
        <v>0</v>
      </c>
      <c r="S26" s="247">
        <f t="shared" si="12"/>
        <v>0</v>
      </c>
      <c r="T26" s="247">
        <f t="shared" si="12"/>
        <v>0</v>
      </c>
      <c r="U26" s="247">
        <f t="shared" si="12"/>
        <v>0</v>
      </c>
      <c r="V26" s="247">
        <f t="shared" si="12"/>
        <v>0</v>
      </c>
      <c r="W26" s="247">
        <f t="shared" si="12"/>
        <v>0</v>
      </c>
      <c r="X26" s="247">
        <f t="shared" si="12"/>
        <v>0</v>
      </c>
      <c r="Y26" s="247">
        <f t="shared" si="12"/>
        <v>0</v>
      </c>
      <c r="Z26" s="247">
        <f t="shared" si="12"/>
        <v>0</v>
      </c>
      <c r="AA26" s="247">
        <f t="shared" si="12"/>
        <v>0</v>
      </c>
      <c r="AB26" s="247">
        <f t="shared" si="12"/>
        <v>0</v>
      </c>
      <c r="AC26" s="247">
        <f t="shared" si="12"/>
        <v>0</v>
      </c>
      <c r="AD26" s="247">
        <f t="shared" si="12"/>
        <v>0</v>
      </c>
      <c r="AE26" s="247">
        <f t="shared" si="12"/>
        <v>0</v>
      </c>
      <c r="AF26" s="247">
        <f t="shared" si="12"/>
        <v>0</v>
      </c>
      <c r="AG26" s="247">
        <f t="shared" si="12"/>
        <v>0</v>
      </c>
      <c r="AH26" s="247">
        <f t="shared" si="12"/>
        <v>0</v>
      </c>
      <c r="AI26" s="247">
        <f t="shared" si="12"/>
        <v>0</v>
      </c>
      <c r="AJ26" s="247">
        <f t="shared" si="12"/>
        <v>0</v>
      </c>
      <c r="AK26" s="247">
        <f t="shared" si="12"/>
        <v>0</v>
      </c>
      <c r="AL26" s="247">
        <f t="shared" si="12"/>
        <v>0</v>
      </c>
      <c r="AM26" s="261">
        <f>SUM(H26:AL26)</f>
        <v>0</v>
      </c>
    </row>
    <row r="27" spans="2:39" ht="12.75" customHeight="1" thickBot="1" x14ac:dyDescent="0.25">
      <c r="B27" s="248" t="s">
        <v>110</v>
      </c>
      <c r="C27" s="249">
        <f>Apr!C27-AM50</f>
        <v>0</v>
      </c>
      <c r="D27" s="246"/>
      <c r="E27" s="246"/>
      <c r="F27" s="569"/>
      <c r="G27" s="188" t="s">
        <v>22</v>
      </c>
      <c r="H27" s="247">
        <f>H26/TaginSt</f>
        <v>0</v>
      </c>
      <c r="I27" s="247">
        <f t="shared" ref="I27:AL27" si="13">I26/TaginSt</f>
        <v>0</v>
      </c>
      <c r="J27" s="247">
        <f t="shared" si="13"/>
        <v>0</v>
      </c>
      <c r="K27" s="247">
        <f t="shared" si="13"/>
        <v>0</v>
      </c>
      <c r="L27" s="247">
        <f t="shared" si="13"/>
        <v>0</v>
      </c>
      <c r="M27" s="247">
        <f t="shared" si="13"/>
        <v>0</v>
      </c>
      <c r="N27" s="247">
        <f t="shared" si="13"/>
        <v>0</v>
      </c>
      <c r="O27" s="247">
        <f t="shared" si="13"/>
        <v>0</v>
      </c>
      <c r="P27" s="247">
        <f t="shared" si="13"/>
        <v>0</v>
      </c>
      <c r="Q27" s="247">
        <f t="shared" si="13"/>
        <v>0</v>
      </c>
      <c r="R27" s="247">
        <f t="shared" si="13"/>
        <v>0</v>
      </c>
      <c r="S27" s="247">
        <f t="shared" si="13"/>
        <v>0</v>
      </c>
      <c r="T27" s="247">
        <f t="shared" si="13"/>
        <v>0</v>
      </c>
      <c r="U27" s="247">
        <f t="shared" si="13"/>
        <v>0</v>
      </c>
      <c r="V27" s="247">
        <f t="shared" si="13"/>
        <v>0</v>
      </c>
      <c r="W27" s="247">
        <f t="shared" si="13"/>
        <v>0</v>
      </c>
      <c r="X27" s="247">
        <f t="shared" si="13"/>
        <v>0</v>
      </c>
      <c r="Y27" s="247">
        <f t="shared" si="13"/>
        <v>0</v>
      </c>
      <c r="Z27" s="247">
        <f t="shared" si="13"/>
        <v>0</v>
      </c>
      <c r="AA27" s="247">
        <f t="shared" si="13"/>
        <v>0</v>
      </c>
      <c r="AB27" s="247">
        <f t="shared" si="13"/>
        <v>0</v>
      </c>
      <c r="AC27" s="247">
        <f t="shared" si="13"/>
        <v>0</v>
      </c>
      <c r="AD27" s="247">
        <f t="shared" si="13"/>
        <v>0</v>
      </c>
      <c r="AE27" s="247">
        <f t="shared" si="13"/>
        <v>0</v>
      </c>
      <c r="AF27" s="247">
        <f t="shared" si="13"/>
        <v>0</v>
      </c>
      <c r="AG27" s="247">
        <f t="shared" si="13"/>
        <v>0</v>
      </c>
      <c r="AH27" s="247">
        <f t="shared" si="13"/>
        <v>0</v>
      </c>
      <c r="AI27" s="247">
        <f t="shared" si="13"/>
        <v>0</v>
      </c>
      <c r="AJ27" s="247">
        <f t="shared" si="13"/>
        <v>0</v>
      </c>
      <c r="AK27" s="247">
        <f t="shared" si="13"/>
        <v>0</v>
      </c>
      <c r="AL27" s="247">
        <f t="shared" si="13"/>
        <v>0</v>
      </c>
      <c r="AM27" s="247">
        <f>SUM(H27:AL27)</f>
        <v>0</v>
      </c>
    </row>
    <row r="28" spans="2:39" ht="12.75" customHeight="1" x14ac:dyDescent="0.2">
      <c r="D28" s="166"/>
      <c r="E28" s="166"/>
      <c r="F28" s="569"/>
      <c r="G28" s="203"/>
      <c r="H28" s="203">
        <f t="shared" ref="H28:AL28" si="14">H26</f>
        <v>0</v>
      </c>
      <c r="I28" s="203">
        <f t="shared" si="14"/>
        <v>0</v>
      </c>
      <c r="J28" s="203">
        <f t="shared" si="14"/>
        <v>0</v>
      </c>
      <c r="K28" s="203">
        <f t="shared" si="14"/>
        <v>0</v>
      </c>
      <c r="L28" s="203">
        <f t="shared" si="14"/>
        <v>0</v>
      </c>
      <c r="M28" s="203">
        <f t="shared" si="14"/>
        <v>0</v>
      </c>
      <c r="N28" s="203">
        <f t="shared" si="14"/>
        <v>0</v>
      </c>
      <c r="O28" s="203">
        <f t="shared" si="14"/>
        <v>0</v>
      </c>
      <c r="P28" s="203">
        <f t="shared" si="14"/>
        <v>0</v>
      </c>
      <c r="Q28" s="203">
        <f t="shared" si="14"/>
        <v>0</v>
      </c>
      <c r="R28" s="203">
        <f t="shared" si="14"/>
        <v>0</v>
      </c>
      <c r="S28" s="203">
        <f t="shared" si="14"/>
        <v>0</v>
      </c>
      <c r="T28" s="203">
        <f t="shared" si="14"/>
        <v>0</v>
      </c>
      <c r="U28" s="203">
        <f t="shared" si="14"/>
        <v>0</v>
      </c>
      <c r="V28" s="203">
        <f t="shared" si="14"/>
        <v>0</v>
      </c>
      <c r="W28" s="203">
        <f t="shared" si="14"/>
        <v>0</v>
      </c>
      <c r="X28" s="203">
        <f t="shared" si="14"/>
        <v>0</v>
      </c>
      <c r="Y28" s="203">
        <f t="shared" si="14"/>
        <v>0</v>
      </c>
      <c r="Z28" s="203">
        <f t="shared" si="14"/>
        <v>0</v>
      </c>
      <c r="AA28" s="203">
        <f t="shared" si="14"/>
        <v>0</v>
      </c>
      <c r="AB28" s="203">
        <f t="shared" si="14"/>
        <v>0</v>
      </c>
      <c r="AC28" s="203">
        <f t="shared" si="14"/>
        <v>0</v>
      </c>
      <c r="AD28" s="203">
        <f t="shared" si="14"/>
        <v>0</v>
      </c>
      <c r="AE28" s="203">
        <f t="shared" si="14"/>
        <v>0</v>
      </c>
      <c r="AF28" s="203">
        <f t="shared" si="14"/>
        <v>0</v>
      </c>
      <c r="AG28" s="203">
        <f t="shared" si="14"/>
        <v>0</v>
      </c>
      <c r="AH28" s="203">
        <f t="shared" si="14"/>
        <v>0</v>
      </c>
      <c r="AI28" s="203">
        <f t="shared" si="14"/>
        <v>0</v>
      </c>
      <c r="AJ28" s="203">
        <f t="shared" si="14"/>
        <v>0</v>
      </c>
      <c r="AK28" s="203">
        <f t="shared" si="14"/>
        <v>0</v>
      </c>
      <c r="AL28" s="203">
        <f t="shared" si="14"/>
        <v>0</v>
      </c>
      <c r="AM28" s="203"/>
    </row>
    <row r="29" spans="2:39" ht="2.1" customHeight="1" x14ac:dyDescent="0.2">
      <c r="D29" s="250"/>
      <c r="E29" s="250"/>
      <c r="F29" s="251"/>
      <c r="G29" s="252"/>
      <c r="H29" s="253"/>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row>
    <row r="30" spans="2:39" ht="12.75" customHeight="1" x14ac:dyDescent="0.2">
      <c r="D30" s="166"/>
      <c r="E30" s="166"/>
      <c r="F30" s="570" t="s">
        <v>77</v>
      </c>
      <c r="G30" s="203" t="s">
        <v>5</v>
      </c>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247">
        <f>SUM(H30:AL30)</f>
        <v>0</v>
      </c>
    </row>
    <row r="31" spans="2:39" ht="12.75" customHeight="1" x14ac:dyDescent="0.2">
      <c r="B31" s="256"/>
      <c r="C31" s="257"/>
      <c r="D31" s="250"/>
      <c r="E31" s="250"/>
      <c r="F31" s="571"/>
      <c r="G31" s="203" t="s">
        <v>187</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247">
        <f t="shared" ref="AM31:AM38" si="15">SUM(H31:AL31)</f>
        <v>0</v>
      </c>
    </row>
    <row r="32" spans="2:39" ht="12.75" customHeight="1" x14ac:dyDescent="0.2">
      <c r="B32" s="259"/>
      <c r="D32" s="250"/>
      <c r="E32" s="250"/>
      <c r="F32" s="571"/>
      <c r="G32" s="203" t="s">
        <v>134</v>
      </c>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247">
        <f t="shared" si="15"/>
        <v>0</v>
      </c>
    </row>
    <row r="33" spans="2:43" ht="12.75" customHeight="1" x14ac:dyDescent="0.2">
      <c r="B33" s="95"/>
      <c r="D33" s="250"/>
      <c r="E33" s="250"/>
      <c r="F33" s="571"/>
      <c r="G33" s="203" t="s">
        <v>131</v>
      </c>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247">
        <f t="shared" si="15"/>
        <v>0</v>
      </c>
    </row>
    <row r="34" spans="2:43" ht="12.75" customHeight="1" x14ac:dyDescent="0.2">
      <c r="D34" s="250"/>
      <c r="E34" s="250"/>
      <c r="F34" s="571"/>
      <c r="G34" s="203" t="s">
        <v>137</v>
      </c>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247">
        <f t="shared" si="15"/>
        <v>0</v>
      </c>
    </row>
    <row r="35" spans="2:43" ht="12.75" customHeight="1" x14ac:dyDescent="0.2">
      <c r="D35" s="250"/>
      <c r="E35" s="250"/>
      <c r="F35" s="571"/>
      <c r="G35" s="260" t="s">
        <v>138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247">
        <f t="shared" si="15"/>
        <v>0</v>
      </c>
    </row>
    <row r="36" spans="2:43" ht="12.75" customHeight="1" x14ac:dyDescent="0.2">
      <c r="D36" s="250"/>
      <c r="E36" s="250"/>
      <c r="F36" s="571"/>
      <c r="G36" s="203" t="s">
        <v>66</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247">
        <f t="shared" si="15"/>
        <v>0</v>
      </c>
      <c r="AO36" s="102"/>
      <c r="AP36" s="102"/>
      <c r="AQ36" s="102"/>
    </row>
    <row r="37" spans="2:43" ht="12.75" customHeight="1" x14ac:dyDescent="0.2">
      <c r="D37" s="250"/>
      <c r="E37" s="250"/>
      <c r="F37" s="571"/>
      <c r="G37" s="203" t="s">
        <v>15</v>
      </c>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247">
        <f t="shared" si="15"/>
        <v>0</v>
      </c>
    </row>
    <row r="38" spans="2:43" ht="12.75" customHeight="1" x14ac:dyDescent="0.2">
      <c r="D38" s="250"/>
      <c r="E38" s="250"/>
      <c r="F38" s="572"/>
      <c r="G38" s="203" t="s">
        <v>17</v>
      </c>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247">
        <f t="shared" si="15"/>
        <v>0</v>
      </c>
    </row>
    <row r="39" spans="2:43" ht="12.75" customHeight="1" x14ac:dyDescent="0.2">
      <c r="D39" s="250"/>
      <c r="E39" s="250"/>
      <c r="F39" s="458" t="s">
        <v>266</v>
      </c>
      <c r="G39" s="262" t="s">
        <v>168</v>
      </c>
      <c r="H39" s="263">
        <f t="shared" ref="H39:AL40" si="16">IF(ISERROR(H51/TaginSt),0,H51/TaginSt)</f>
        <v>0</v>
      </c>
      <c r="I39" s="263">
        <f t="shared" si="16"/>
        <v>0</v>
      </c>
      <c r="J39" s="263">
        <f t="shared" si="16"/>
        <v>1</v>
      </c>
      <c r="K39" s="263">
        <f t="shared" si="16"/>
        <v>0</v>
      </c>
      <c r="L39" s="263">
        <f>IF(ISERROR(L51/TaginSt),0,L51/TaginSt)</f>
        <v>0</v>
      </c>
      <c r="M39" s="263">
        <f t="shared" si="16"/>
        <v>0</v>
      </c>
      <c r="N39" s="263">
        <f t="shared" si="16"/>
        <v>0</v>
      </c>
      <c r="O39" s="263">
        <f t="shared" si="16"/>
        <v>0</v>
      </c>
      <c r="P39" s="263">
        <f t="shared" si="16"/>
        <v>0</v>
      </c>
      <c r="Q39" s="263">
        <f t="shared" si="16"/>
        <v>1</v>
      </c>
      <c r="R39" s="263">
        <f t="shared" si="16"/>
        <v>0</v>
      </c>
      <c r="S39" s="263">
        <f t="shared" si="16"/>
        <v>0</v>
      </c>
      <c r="T39" s="263">
        <f t="shared" si="16"/>
        <v>0</v>
      </c>
      <c r="U39" s="263">
        <f t="shared" si="16"/>
        <v>0</v>
      </c>
      <c r="V39" s="263">
        <f t="shared" si="16"/>
        <v>0</v>
      </c>
      <c r="W39" s="263">
        <f t="shared" si="16"/>
        <v>0</v>
      </c>
      <c r="X39" s="263">
        <f t="shared" si="16"/>
        <v>1</v>
      </c>
      <c r="Y39" s="263">
        <f t="shared" si="16"/>
        <v>0</v>
      </c>
      <c r="Z39" s="263">
        <f t="shared" si="16"/>
        <v>0</v>
      </c>
      <c r="AA39" s="263">
        <f t="shared" si="16"/>
        <v>0</v>
      </c>
      <c r="AB39" s="263">
        <f t="shared" si="16"/>
        <v>0</v>
      </c>
      <c r="AC39" s="263">
        <f t="shared" si="16"/>
        <v>0</v>
      </c>
      <c r="AD39" s="263">
        <f t="shared" si="16"/>
        <v>0</v>
      </c>
      <c r="AE39" s="263">
        <f t="shared" si="16"/>
        <v>1</v>
      </c>
      <c r="AF39" s="263">
        <f t="shared" si="16"/>
        <v>0</v>
      </c>
      <c r="AG39" s="263">
        <f t="shared" si="16"/>
        <v>0</v>
      </c>
      <c r="AH39" s="263">
        <f t="shared" si="16"/>
        <v>0</v>
      </c>
      <c r="AI39" s="263">
        <f t="shared" si="16"/>
        <v>0</v>
      </c>
      <c r="AJ39" s="263">
        <f t="shared" si="16"/>
        <v>0</v>
      </c>
      <c r="AK39" s="263">
        <f t="shared" si="16"/>
        <v>0</v>
      </c>
      <c r="AL39" s="263">
        <f t="shared" si="16"/>
        <v>1</v>
      </c>
      <c r="AM39" s="264">
        <f>SUM(H39:AL39)</f>
        <v>5</v>
      </c>
      <c r="AN39" s="265"/>
    </row>
    <row r="40" spans="2:43" ht="12.75" customHeight="1" x14ac:dyDescent="0.2">
      <c r="D40" s="250"/>
      <c r="E40" s="250"/>
      <c r="F40" s="459" t="s">
        <v>267</v>
      </c>
      <c r="G40" s="266" t="s">
        <v>188</v>
      </c>
      <c r="H40" s="263">
        <f t="shared" si="16"/>
        <v>1</v>
      </c>
      <c r="I40" s="263">
        <f t="shared" si="16"/>
        <v>1</v>
      </c>
      <c r="J40" s="263">
        <f>IF(ISERROR(J52/TaginSt),0,J52/TaginSt)</f>
        <v>0</v>
      </c>
      <c r="K40" s="263">
        <f t="shared" si="16"/>
        <v>0</v>
      </c>
      <c r="L40" s="263">
        <f t="shared" si="16"/>
        <v>1</v>
      </c>
      <c r="M40" s="263">
        <f t="shared" si="16"/>
        <v>1</v>
      </c>
      <c r="N40" s="263">
        <f t="shared" si="16"/>
        <v>1</v>
      </c>
      <c r="O40" s="263">
        <f t="shared" si="16"/>
        <v>1</v>
      </c>
      <c r="P40" s="263">
        <f t="shared" si="16"/>
        <v>1</v>
      </c>
      <c r="Q40" s="263">
        <f t="shared" si="16"/>
        <v>0</v>
      </c>
      <c r="R40" s="263">
        <f t="shared" si="16"/>
        <v>0</v>
      </c>
      <c r="S40" s="263">
        <f t="shared" si="16"/>
        <v>1</v>
      </c>
      <c r="T40" s="263">
        <f t="shared" si="16"/>
        <v>1</v>
      </c>
      <c r="U40" s="263">
        <f t="shared" si="16"/>
        <v>1</v>
      </c>
      <c r="V40" s="263">
        <f t="shared" si="16"/>
        <v>1</v>
      </c>
      <c r="W40" s="263">
        <f t="shared" si="16"/>
        <v>1</v>
      </c>
      <c r="X40" s="263">
        <f t="shared" si="16"/>
        <v>0</v>
      </c>
      <c r="Y40" s="263">
        <f t="shared" si="16"/>
        <v>0</v>
      </c>
      <c r="Z40" s="263">
        <f t="shared" si="16"/>
        <v>1</v>
      </c>
      <c r="AA40" s="263">
        <f t="shared" si="16"/>
        <v>1</v>
      </c>
      <c r="AB40" s="263">
        <f t="shared" si="16"/>
        <v>1</v>
      </c>
      <c r="AC40" s="263">
        <f t="shared" si="16"/>
        <v>1</v>
      </c>
      <c r="AD40" s="263">
        <f t="shared" si="16"/>
        <v>1</v>
      </c>
      <c r="AE40" s="263">
        <f t="shared" si="16"/>
        <v>0</v>
      </c>
      <c r="AF40" s="263">
        <f t="shared" si="16"/>
        <v>0</v>
      </c>
      <c r="AG40" s="263">
        <f t="shared" si="16"/>
        <v>1</v>
      </c>
      <c r="AH40" s="263">
        <f t="shared" si="16"/>
        <v>1</v>
      </c>
      <c r="AI40" s="263">
        <f t="shared" si="16"/>
        <v>1</v>
      </c>
      <c r="AJ40" s="263">
        <f t="shared" si="16"/>
        <v>0</v>
      </c>
      <c r="AK40" s="263">
        <f t="shared" si="16"/>
        <v>1</v>
      </c>
      <c r="AL40" s="263">
        <f t="shared" si="16"/>
        <v>0</v>
      </c>
      <c r="AM40" s="264">
        <f>SUM(H40:AL40)</f>
        <v>21</v>
      </c>
      <c r="AN40" s="265"/>
    </row>
    <row r="41" spans="2:43" ht="12.75" customHeight="1" x14ac:dyDescent="0.2">
      <c r="D41" s="250"/>
      <c r="E41" s="250"/>
      <c r="F41" s="585" t="s">
        <v>268</v>
      </c>
      <c r="G41" s="586"/>
      <c r="H41" s="267">
        <f t="shared" ref="H41:AL41" si="17">IF(ISERROR(H54/TaginSt),0,H54/TaginSt)</f>
        <v>0</v>
      </c>
      <c r="I41" s="267">
        <f t="shared" si="17"/>
        <v>0</v>
      </c>
      <c r="J41" s="267">
        <f t="shared" si="17"/>
        <v>0</v>
      </c>
      <c r="K41" s="267">
        <f t="shared" si="17"/>
        <v>0</v>
      </c>
      <c r="L41" s="267">
        <f t="shared" si="17"/>
        <v>0</v>
      </c>
      <c r="M41" s="267">
        <f t="shared" si="17"/>
        <v>0</v>
      </c>
      <c r="N41" s="267">
        <f t="shared" si="17"/>
        <v>0</v>
      </c>
      <c r="O41" s="267">
        <f t="shared" si="17"/>
        <v>0</v>
      </c>
      <c r="P41" s="267">
        <f t="shared" si="17"/>
        <v>0</v>
      </c>
      <c r="Q41" s="267">
        <f t="shared" si="17"/>
        <v>0</v>
      </c>
      <c r="R41" s="267">
        <f t="shared" si="17"/>
        <v>0</v>
      </c>
      <c r="S41" s="267">
        <f t="shared" si="17"/>
        <v>0</v>
      </c>
      <c r="T41" s="267">
        <f t="shared" si="17"/>
        <v>0</v>
      </c>
      <c r="U41" s="267">
        <f t="shared" si="17"/>
        <v>0</v>
      </c>
      <c r="V41" s="267">
        <f t="shared" si="17"/>
        <v>0</v>
      </c>
      <c r="W41" s="267">
        <f t="shared" si="17"/>
        <v>0</v>
      </c>
      <c r="X41" s="267">
        <f t="shared" si="17"/>
        <v>0</v>
      </c>
      <c r="Y41" s="267">
        <f t="shared" si="17"/>
        <v>0</v>
      </c>
      <c r="Z41" s="267">
        <f t="shared" si="17"/>
        <v>0</v>
      </c>
      <c r="AA41" s="267">
        <f t="shared" si="17"/>
        <v>0</v>
      </c>
      <c r="AB41" s="267">
        <f t="shared" si="17"/>
        <v>0</v>
      </c>
      <c r="AC41" s="267">
        <f t="shared" si="17"/>
        <v>0</v>
      </c>
      <c r="AD41" s="267">
        <f t="shared" si="17"/>
        <v>0</v>
      </c>
      <c r="AE41" s="267">
        <f t="shared" si="17"/>
        <v>0</v>
      </c>
      <c r="AF41" s="267">
        <f t="shared" si="17"/>
        <v>0</v>
      </c>
      <c r="AG41" s="267">
        <f t="shared" si="17"/>
        <v>0</v>
      </c>
      <c r="AH41" s="267">
        <f t="shared" si="17"/>
        <v>0</v>
      </c>
      <c r="AI41" s="267">
        <f t="shared" si="17"/>
        <v>0</v>
      </c>
      <c r="AJ41" s="267">
        <f t="shared" si="17"/>
        <v>0</v>
      </c>
      <c r="AK41" s="267">
        <f t="shared" si="17"/>
        <v>0</v>
      </c>
      <c r="AL41" s="267">
        <f t="shared" si="17"/>
        <v>0</v>
      </c>
      <c r="AM41" s="268">
        <f>SUM(H41:AL41)</f>
        <v>0</v>
      </c>
      <c r="AN41" s="265"/>
    </row>
    <row r="42" spans="2:43" ht="12.75" hidden="1" customHeight="1" x14ac:dyDescent="0.2">
      <c r="B42" s="256"/>
      <c r="C42" s="257"/>
      <c r="D42" s="250"/>
      <c r="E42" s="250"/>
      <c r="F42" s="563" t="s">
        <v>218</v>
      </c>
      <c r="G42" s="269" t="str">
        <f t="shared" ref="G42:G50" si="18">G30</f>
        <v>Ferien</v>
      </c>
      <c r="H42" s="270">
        <f t="shared" ref="H42:AL42" si="19">H30*TaginSt*H$9/100</f>
        <v>0</v>
      </c>
      <c r="I42" s="270">
        <f t="shared" si="19"/>
        <v>0</v>
      </c>
      <c r="J42" s="270">
        <f t="shared" si="19"/>
        <v>0</v>
      </c>
      <c r="K42" s="270">
        <f t="shared" si="19"/>
        <v>0</v>
      </c>
      <c r="L42" s="270">
        <f t="shared" si="19"/>
        <v>0</v>
      </c>
      <c r="M42" s="270">
        <f t="shared" si="19"/>
        <v>0</v>
      </c>
      <c r="N42" s="270">
        <f t="shared" si="19"/>
        <v>0</v>
      </c>
      <c r="O42" s="270">
        <f t="shared" si="19"/>
        <v>0</v>
      </c>
      <c r="P42" s="270">
        <f t="shared" si="19"/>
        <v>0</v>
      </c>
      <c r="Q42" s="270">
        <f t="shared" si="19"/>
        <v>0</v>
      </c>
      <c r="R42" s="270">
        <f t="shared" si="19"/>
        <v>0</v>
      </c>
      <c r="S42" s="270">
        <f t="shared" si="19"/>
        <v>0</v>
      </c>
      <c r="T42" s="270">
        <f t="shared" si="19"/>
        <v>0</v>
      </c>
      <c r="U42" s="270">
        <f t="shared" si="19"/>
        <v>0</v>
      </c>
      <c r="V42" s="270">
        <f t="shared" si="19"/>
        <v>0</v>
      </c>
      <c r="W42" s="270">
        <f t="shared" si="19"/>
        <v>0</v>
      </c>
      <c r="X42" s="270">
        <f t="shared" si="19"/>
        <v>0</v>
      </c>
      <c r="Y42" s="270">
        <f t="shared" si="19"/>
        <v>0</v>
      </c>
      <c r="Z42" s="270">
        <f t="shared" si="19"/>
        <v>0</v>
      </c>
      <c r="AA42" s="270">
        <f t="shared" si="19"/>
        <v>0</v>
      </c>
      <c r="AB42" s="270">
        <f t="shared" si="19"/>
        <v>0</v>
      </c>
      <c r="AC42" s="270">
        <f t="shared" si="19"/>
        <v>0</v>
      </c>
      <c r="AD42" s="270">
        <f t="shared" si="19"/>
        <v>0</v>
      </c>
      <c r="AE42" s="270">
        <f t="shared" si="19"/>
        <v>0</v>
      </c>
      <c r="AF42" s="270">
        <f t="shared" si="19"/>
        <v>0</v>
      </c>
      <c r="AG42" s="270">
        <f t="shared" si="19"/>
        <v>0</v>
      </c>
      <c r="AH42" s="270">
        <f t="shared" si="19"/>
        <v>0</v>
      </c>
      <c r="AI42" s="270">
        <f t="shared" si="19"/>
        <v>0</v>
      </c>
      <c r="AJ42" s="270">
        <f t="shared" si="19"/>
        <v>0</v>
      </c>
      <c r="AK42" s="270">
        <f t="shared" si="19"/>
        <v>0</v>
      </c>
      <c r="AL42" s="270">
        <f t="shared" si="19"/>
        <v>0</v>
      </c>
      <c r="AM42" s="271">
        <f t="shared" ref="AM42:AM55" si="20">SUM(H42:AL42)</f>
        <v>0</v>
      </c>
      <c r="AN42" s="272"/>
      <c r="AO42" s="562" t="s">
        <v>198</v>
      </c>
    </row>
    <row r="43" spans="2:43" ht="12.75" hidden="1" customHeight="1" x14ac:dyDescent="0.2">
      <c r="B43" s="256"/>
      <c r="C43" s="257"/>
      <c r="D43" s="250"/>
      <c r="E43" s="250"/>
      <c r="F43" s="564"/>
      <c r="G43" s="269" t="str">
        <f t="shared" si="18"/>
        <v>Krank./Unfall (%)</v>
      </c>
      <c r="H43" s="270">
        <f t="shared" ref="H43:AL43" si="21">H31*H14</f>
        <v>0</v>
      </c>
      <c r="I43" s="270">
        <f t="shared" si="21"/>
        <v>0</v>
      </c>
      <c r="J43" s="270">
        <f t="shared" si="21"/>
        <v>0</v>
      </c>
      <c r="K43" s="270">
        <f t="shared" si="21"/>
        <v>0</v>
      </c>
      <c r="L43" s="270">
        <f t="shared" si="21"/>
        <v>0</v>
      </c>
      <c r="M43" s="270">
        <f t="shared" si="21"/>
        <v>0</v>
      </c>
      <c r="N43" s="270">
        <f t="shared" si="21"/>
        <v>0</v>
      </c>
      <c r="O43" s="270">
        <f t="shared" si="21"/>
        <v>0</v>
      </c>
      <c r="P43" s="270">
        <f t="shared" si="21"/>
        <v>0</v>
      </c>
      <c r="Q43" s="270">
        <f t="shared" si="21"/>
        <v>0</v>
      </c>
      <c r="R43" s="270">
        <f t="shared" si="21"/>
        <v>0</v>
      </c>
      <c r="S43" s="270">
        <f t="shared" si="21"/>
        <v>0</v>
      </c>
      <c r="T43" s="270">
        <f t="shared" si="21"/>
        <v>0</v>
      </c>
      <c r="U43" s="270">
        <f t="shared" si="21"/>
        <v>0</v>
      </c>
      <c r="V43" s="270">
        <f t="shared" si="21"/>
        <v>0</v>
      </c>
      <c r="W43" s="270">
        <f t="shared" si="21"/>
        <v>0</v>
      </c>
      <c r="X43" s="270">
        <f t="shared" si="21"/>
        <v>0</v>
      </c>
      <c r="Y43" s="270">
        <f t="shared" si="21"/>
        <v>0</v>
      </c>
      <c r="Z43" s="270">
        <f t="shared" si="21"/>
        <v>0</v>
      </c>
      <c r="AA43" s="270">
        <f t="shared" si="21"/>
        <v>0</v>
      </c>
      <c r="AB43" s="270">
        <f t="shared" si="21"/>
        <v>0</v>
      </c>
      <c r="AC43" s="270">
        <f t="shared" si="21"/>
        <v>0</v>
      </c>
      <c r="AD43" s="270">
        <f t="shared" si="21"/>
        <v>0</v>
      </c>
      <c r="AE43" s="270">
        <f t="shared" si="21"/>
        <v>0</v>
      </c>
      <c r="AF43" s="270">
        <f t="shared" si="21"/>
        <v>0</v>
      </c>
      <c r="AG43" s="270">
        <f t="shared" si="21"/>
        <v>0</v>
      </c>
      <c r="AH43" s="270">
        <f t="shared" si="21"/>
        <v>0</v>
      </c>
      <c r="AI43" s="270">
        <f t="shared" si="21"/>
        <v>0</v>
      </c>
      <c r="AJ43" s="270">
        <f t="shared" si="21"/>
        <v>0</v>
      </c>
      <c r="AK43" s="270">
        <f t="shared" si="21"/>
        <v>0</v>
      </c>
      <c r="AL43" s="270">
        <f t="shared" si="21"/>
        <v>0</v>
      </c>
      <c r="AM43" s="271">
        <f t="shared" si="20"/>
        <v>0</v>
      </c>
      <c r="AN43" s="272"/>
      <c r="AO43" s="562"/>
    </row>
    <row r="44" spans="2:43" ht="12.75" hidden="1" customHeight="1" x14ac:dyDescent="0.2">
      <c r="B44" s="256"/>
      <c r="C44" s="257"/>
      <c r="D44" s="250"/>
      <c r="E44" s="250"/>
      <c r="F44" s="564"/>
      <c r="G44" s="269" t="str">
        <f t="shared" si="18"/>
        <v>Kurzurl./öff. Amt</v>
      </c>
      <c r="H44" s="270">
        <f t="shared" ref="H44:AL44" si="22">H32*TaginSt*H$9/100</f>
        <v>0</v>
      </c>
      <c r="I44" s="270">
        <f t="shared" si="22"/>
        <v>0</v>
      </c>
      <c r="J44" s="270">
        <f t="shared" si="22"/>
        <v>0</v>
      </c>
      <c r="K44" s="270">
        <f t="shared" si="22"/>
        <v>0</v>
      </c>
      <c r="L44" s="270">
        <f t="shared" si="22"/>
        <v>0</v>
      </c>
      <c r="M44" s="270">
        <f t="shared" si="22"/>
        <v>0</v>
      </c>
      <c r="N44" s="270">
        <f t="shared" si="22"/>
        <v>0</v>
      </c>
      <c r="O44" s="270">
        <f t="shared" si="22"/>
        <v>0</v>
      </c>
      <c r="P44" s="273">
        <f t="shared" si="22"/>
        <v>0</v>
      </c>
      <c r="Q44" s="270">
        <f t="shared" si="22"/>
        <v>0</v>
      </c>
      <c r="R44" s="270">
        <f t="shared" si="22"/>
        <v>0</v>
      </c>
      <c r="S44" s="270">
        <f t="shared" si="22"/>
        <v>0</v>
      </c>
      <c r="T44" s="270">
        <f t="shared" si="22"/>
        <v>0</v>
      </c>
      <c r="U44" s="270">
        <f t="shared" si="22"/>
        <v>0</v>
      </c>
      <c r="V44" s="270">
        <f t="shared" si="22"/>
        <v>0</v>
      </c>
      <c r="W44" s="270">
        <f t="shared" si="22"/>
        <v>0</v>
      </c>
      <c r="X44" s="270">
        <f t="shared" si="22"/>
        <v>0</v>
      </c>
      <c r="Y44" s="270">
        <f t="shared" si="22"/>
        <v>0</v>
      </c>
      <c r="Z44" s="270">
        <f t="shared" si="22"/>
        <v>0</v>
      </c>
      <c r="AA44" s="270">
        <f t="shared" si="22"/>
        <v>0</v>
      </c>
      <c r="AB44" s="270">
        <f t="shared" si="22"/>
        <v>0</v>
      </c>
      <c r="AC44" s="270">
        <f t="shared" si="22"/>
        <v>0</v>
      </c>
      <c r="AD44" s="270">
        <f t="shared" si="22"/>
        <v>0</v>
      </c>
      <c r="AE44" s="270">
        <f t="shared" si="22"/>
        <v>0</v>
      </c>
      <c r="AF44" s="270">
        <f t="shared" si="22"/>
        <v>0</v>
      </c>
      <c r="AG44" s="270">
        <f t="shared" si="22"/>
        <v>0</v>
      </c>
      <c r="AH44" s="270">
        <f t="shared" si="22"/>
        <v>0</v>
      </c>
      <c r="AI44" s="270">
        <f t="shared" si="22"/>
        <v>0</v>
      </c>
      <c r="AJ44" s="270">
        <f t="shared" si="22"/>
        <v>0</v>
      </c>
      <c r="AK44" s="270">
        <f t="shared" si="22"/>
        <v>0</v>
      </c>
      <c r="AL44" s="270">
        <f t="shared" si="22"/>
        <v>0</v>
      </c>
      <c r="AM44" s="271">
        <f t="shared" si="20"/>
        <v>0</v>
      </c>
      <c r="AN44" s="272"/>
      <c r="AO44" s="562"/>
    </row>
    <row r="45" spans="2:43" ht="12.75" hidden="1" customHeight="1" x14ac:dyDescent="0.2">
      <c r="B45" s="256"/>
      <c r="C45" s="257"/>
      <c r="D45" s="250"/>
      <c r="E45" s="250"/>
      <c r="F45" s="564"/>
      <c r="G45" s="269" t="str">
        <f t="shared" si="18"/>
        <v>Militär/CT/ZS/J&amp;S</v>
      </c>
      <c r="H45" s="270">
        <f t="shared" ref="H45:AL45" si="23">H33*TaginSt*H$9/100</f>
        <v>0</v>
      </c>
      <c r="I45" s="270">
        <f t="shared" si="23"/>
        <v>0</v>
      </c>
      <c r="J45" s="270">
        <f t="shared" si="23"/>
        <v>0</v>
      </c>
      <c r="K45" s="270">
        <f t="shared" si="23"/>
        <v>0</v>
      </c>
      <c r="L45" s="270">
        <f t="shared" si="23"/>
        <v>0</v>
      </c>
      <c r="M45" s="270">
        <f t="shared" si="23"/>
        <v>0</v>
      </c>
      <c r="N45" s="270">
        <f t="shared" si="23"/>
        <v>0</v>
      </c>
      <c r="O45" s="270">
        <f t="shared" si="23"/>
        <v>0</v>
      </c>
      <c r="P45" s="270">
        <f t="shared" si="23"/>
        <v>0</v>
      </c>
      <c r="Q45" s="270">
        <f t="shared" si="23"/>
        <v>0</v>
      </c>
      <c r="R45" s="270">
        <f t="shared" si="23"/>
        <v>0</v>
      </c>
      <c r="S45" s="270">
        <f t="shared" si="23"/>
        <v>0</v>
      </c>
      <c r="T45" s="270">
        <f t="shared" si="23"/>
        <v>0</v>
      </c>
      <c r="U45" s="270">
        <f t="shared" si="23"/>
        <v>0</v>
      </c>
      <c r="V45" s="270">
        <f t="shared" si="23"/>
        <v>0</v>
      </c>
      <c r="W45" s="270">
        <f t="shared" si="23"/>
        <v>0</v>
      </c>
      <c r="X45" s="270">
        <f t="shared" si="23"/>
        <v>0</v>
      </c>
      <c r="Y45" s="270">
        <f t="shared" si="23"/>
        <v>0</v>
      </c>
      <c r="Z45" s="270">
        <f t="shared" si="23"/>
        <v>0</v>
      </c>
      <c r="AA45" s="270">
        <f t="shared" si="23"/>
        <v>0</v>
      </c>
      <c r="AB45" s="270">
        <f t="shared" si="23"/>
        <v>0</v>
      </c>
      <c r="AC45" s="270">
        <f t="shared" si="23"/>
        <v>0</v>
      </c>
      <c r="AD45" s="270">
        <f t="shared" si="23"/>
        <v>0</v>
      </c>
      <c r="AE45" s="270">
        <f t="shared" si="23"/>
        <v>0</v>
      </c>
      <c r="AF45" s="270">
        <f t="shared" si="23"/>
        <v>0</v>
      </c>
      <c r="AG45" s="270">
        <f t="shared" si="23"/>
        <v>0</v>
      </c>
      <c r="AH45" s="270">
        <f t="shared" si="23"/>
        <v>0</v>
      </c>
      <c r="AI45" s="270">
        <f t="shared" si="23"/>
        <v>0</v>
      </c>
      <c r="AJ45" s="270">
        <f t="shared" si="23"/>
        <v>0</v>
      </c>
      <c r="AK45" s="270">
        <f t="shared" si="23"/>
        <v>0</v>
      </c>
      <c r="AL45" s="270">
        <f t="shared" si="23"/>
        <v>0</v>
      </c>
      <c r="AM45" s="271">
        <f t="shared" si="20"/>
        <v>0</v>
      </c>
      <c r="AN45" s="272"/>
      <c r="AO45" s="562"/>
    </row>
    <row r="46" spans="2:43" ht="12.75" hidden="1" customHeight="1" x14ac:dyDescent="0.2">
      <c r="B46" s="256"/>
      <c r="C46" s="257"/>
      <c r="D46" s="250"/>
      <c r="E46" s="250"/>
      <c r="F46" s="564"/>
      <c r="G46" s="269" t="str">
        <f t="shared" si="18"/>
        <v>Weiterbildung</v>
      </c>
      <c r="H46" s="270">
        <f t="shared" ref="H46:AL46" si="24">H34*TaginSt*H$9/100</f>
        <v>0</v>
      </c>
      <c r="I46" s="270">
        <f t="shared" si="24"/>
        <v>0</v>
      </c>
      <c r="J46" s="270">
        <f t="shared" si="24"/>
        <v>0</v>
      </c>
      <c r="K46" s="270">
        <f t="shared" si="24"/>
        <v>0</v>
      </c>
      <c r="L46" s="270">
        <f t="shared" si="24"/>
        <v>0</v>
      </c>
      <c r="M46" s="270">
        <f t="shared" si="24"/>
        <v>0</v>
      </c>
      <c r="N46" s="270">
        <f t="shared" si="24"/>
        <v>0</v>
      </c>
      <c r="O46" s="270">
        <f t="shared" si="24"/>
        <v>0</v>
      </c>
      <c r="P46" s="270">
        <f t="shared" si="24"/>
        <v>0</v>
      </c>
      <c r="Q46" s="270">
        <f t="shared" si="24"/>
        <v>0</v>
      </c>
      <c r="R46" s="270">
        <f t="shared" si="24"/>
        <v>0</v>
      </c>
      <c r="S46" s="270">
        <f t="shared" si="24"/>
        <v>0</v>
      </c>
      <c r="T46" s="270">
        <f t="shared" si="24"/>
        <v>0</v>
      </c>
      <c r="U46" s="270">
        <f t="shared" si="24"/>
        <v>0</v>
      </c>
      <c r="V46" s="270">
        <f t="shared" si="24"/>
        <v>0</v>
      </c>
      <c r="W46" s="270">
        <f t="shared" si="24"/>
        <v>0</v>
      </c>
      <c r="X46" s="270">
        <f t="shared" si="24"/>
        <v>0</v>
      </c>
      <c r="Y46" s="270">
        <f t="shared" si="24"/>
        <v>0</v>
      </c>
      <c r="Z46" s="270">
        <f t="shared" si="24"/>
        <v>0</v>
      </c>
      <c r="AA46" s="270">
        <f t="shared" si="24"/>
        <v>0</v>
      </c>
      <c r="AB46" s="270">
        <f t="shared" si="24"/>
        <v>0</v>
      </c>
      <c r="AC46" s="270">
        <f t="shared" si="24"/>
        <v>0</v>
      </c>
      <c r="AD46" s="270">
        <f t="shared" si="24"/>
        <v>0</v>
      </c>
      <c r="AE46" s="270">
        <f t="shared" si="24"/>
        <v>0</v>
      </c>
      <c r="AF46" s="270">
        <f t="shared" si="24"/>
        <v>0</v>
      </c>
      <c r="AG46" s="270">
        <f t="shared" si="24"/>
        <v>0</v>
      </c>
      <c r="AH46" s="270">
        <f t="shared" si="24"/>
        <v>0</v>
      </c>
      <c r="AI46" s="270">
        <f t="shared" si="24"/>
        <v>0</v>
      </c>
      <c r="AJ46" s="270">
        <f t="shared" si="24"/>
        <v>0</v>
      </c>
      <c r="AK46" s="270">
        <f t="shared" si="24"/>
        <v>0</v>
      </c>
      <c r="AL46" s="270">
        <f t="shared" si="24"/>
        <v>0</v>
      </c>
      <c r="AM46" s="271">
        <f t="shared" si="20"/>
        <v>0</v>
      </c>
      <c r="AN46" s="272"/>
      <c r="AO46" s="562"/>
    </row>
    <row r="47" spans="2:43" ht="12.75" hidden="1" customHeight="1" x14ac:dyDescent="0.2">
      <c r="B47" s="256"/>
      <c r="C47" s="257"/>
      <c r="D47" s="250"/>
      <c r="E47" s="250"/>
      <c r="F47" s="564"/>
      <c r="G47" s="269" t="str">
        <f t="shared" si="18"/>
        <v>Studienurlaub</v>
      </c>
      <c r="H47" s="270">
        <f t="shared" ref="H47:AL47" si="25">H35*TaginSt*H$9/100</f>
        <v>0</v>
      </c>
      <c r="I47" s="270">
        <f t="shared" si="25"/>
        <v>0</v>
      </c>
      <c r="J47" s="270">
        <f t="shared" si="25"/>
        <v>0</v>
      </c>
      <c r="K47" s="270">
        <f t="shared" si="25"/>
        <v>0</v>
      </c>
      <c r="L47" s="270">
        <f t="shared" si="25"/>
        <v>0</v>
      </c>
      <c r="M47" s="270">
        <f t="shared" si="25"/>
        <v>0</v>
      </c>
      <c r="N47" s="270">
        <f t="shared" si="25"/>
        <v>0</v>
      </c>
      <c r="O47" s="270">
        <f t="shared" si="25"/>
        <v>0</v>
      </c>
      <c r="P47" s="270">
        <f t="shared" si="25"/>
        <v>0</v>
      </c>
      <c r="Q47" s="270">
        <f t="shared" si="25"/>
        <v>0</v>
      </c>
      <c r="R47" s="270">
        <f t="shared" si="25"/>
        <v>0</v>
      </c>
      <c r="S47" s="270">
        <f t="shared" si="25"/>
        <v>0</v>
      </c>
      <c r="T47" s="270">
        <f t="shared" si="25"/>
        <v>0</v>
      </c>
      <c r="U47" s="270">
        <f t="shared" si="25"/>
        <v>0</v>
      </c>
      <c r="V47" s="270">
        <f t="shared" si="25"/>
        <v>0</v>
      </c>
      <c r="W47" s="270">
        <f t="shared" si="25"/>
        <v>0</v>
      </c>
      <c r="X47" s="270">
        <f t="shared" si="25"/>
        <v>0</v>
      </c>
      <c r="Y47" s="270">
        <f t="shared" si="25"/>
        <v>0</v>
      </c>
      <c r="Z47" s="270">
        <f t="shared" si="25"/>
        <v>0</v>
      </c>
      <c r="AA47" s="270">
        <f t="shared" si="25"/>
        <v>0</v>
      </c>
      <c r="AB47" s="270">
        <f t="shared" si="25"/>
        <v>0</v>
      </c>
      <c r="AC47" s="270">
        <f t="shared" si="25"/>
        <v>0</v>
      </c>
      <c r="AD47" s="270">
        <f t="shared" si="25"/>
        <v>0</v>
      </c>
      <c r="AE47" s="270">
        <f t="shared" si="25"/>
        <v>0</v>
      </c>
      <c r="AF47" s="270">
        <f t="shared" si="25"/>
        <v>0</v>
      </c>
      <c r="AG47" s="270">
        <f t="shared" si="25"/>
        <v>0</v>
      </c>
      <c r="AH47" s="270">
        <f t="shared" si="25"/>
        <v>0</v>
      </c>
      <c r="AI47" s="270">
        <f t="shared" si="25"/>
        <v>0</v>
      </c>
      <c r="AJ47" s="270">
        <f t="shared" si="25"/>
        <v>0</v>
      </c>
      <c r="AK47" s="270">
        <f t="shared" si="25"/>
        <v>0</v>
      </c>
      <c r="AL47" s="270">
        <f t="shared" si="25"/>
        <v>0</v>
      </c>
      <c r="AM47" s="271">
        <f>SUM(H47:AL47)</f>
        <v>0</v>
      </c>
      <c r="AN47" s="272"/>
      <c r="AO47" s="562"/>
    </row>
    <row r="48" spans="2:43" ht="12.75" hidden="1" customHeight="1" x14ac:dyDescent="0.2">
      <c r="B48" s="256"/>
      <c r="C48" s="257"/>
      <c r="D48" s="250"/>
      <c r="E48" s="250"/>
      <c r="F48" s="564"/>
      <c r="G48" s="269" t="str">
        <f t="shared" si="18"/>
        <v>Mu-/Vat.</v>
      </c>
      <c r="H48" s="270">
        <f t="shared" ref="H48:AL48" si="26">H36*TaginSt*H$9/100</f>
        <v>0</v>
      </c>
      <c r="I48" s="270">
        <f t="shared" si="26"/>
        <v>0</v>
      </c>
      <c r="J48" s="270">
        <f t="shared" si="26"/>
        <v>0</v>
      </c>
      <c r="K48" s="270">
        <f t="shared" si="26"/>
        <v>0</v>
      </c>
      <c r="L48" s="270">
        <f t="shared" si="26"/>
        <v>0</v>
      </c>
      <c r="M48" s="270">
        <f t="shared" si="26"/>
        <v>0</v>
      </c>
      <c r="N48" s="270">
        <f t="shared" si="26"/>
        <v>0</v>
      </c>
      <c r="O48" s="270">
        <f t="shared" si="26"/>
        <v>0</v>
      </c>
      <c r="P48" s="270">
        <f t="shared" si="26"/>
        <v>0</v>
      </c>
      <c r="Q48" s="270">
        <f t="shared" si="26"/>
        <v>0</v>
      </c>
      <c r="R48" s="270">
        <f t="shared" si="26"/>
        <v>0</v>
      </c>
      <c r="S48" s="270">
        <f t="shared" si="26"/>
        <v>0</v>
      </c>
      <c r="T48" s="270">
        <f t="shared" si="26"/>
        <v>0</v>
      </c>
      <c r="U48" s="270">
        <f t="shared" si="26"/>
        <v>0</v>
      </c>
      <c r="V48" s="270">
        <f t="shared" si="26"/>
        <v>0</v>
      </c>
      <c r="W48" s="270">
        <f t="shared" si="26"/>
        <v>0</v>
      </c>
      <c r="X48" s="270">
        <f t="shared" si="26"/>
        <v>0</v>
      </c>
      <c r="Y48" s="270">
        <f t="shared" si="26"/>
        <v>0</v>
      </c>
      <c r="Z48" s="270">
        <f t="shared" si="26"/>
        <v>0</v>
      </c>
      <c r="AA48" s="270">
        <f t="shared" si="26"/>
        <v>0</v>
      </c>
      <c r="AB48" s="270">
        <f t="shared" si="26"/>
        <v>0</v>
      </c>
      <c r="AC48" s="270">
        <f t="shared" si="26"/>
        <v>0</v>
      </c>
      <c r="AD48" s="270">
        <f t="shared" si="26"/>
        <v>0</v>
      </c>
      <c r="AE48" s="270">
        <f t="shared" si="26"/>
        <v>0</v>
      </c>
      <c r="AF48" s="270">
        <f t="shared" si="26"/>
        <v>0</v>
      </c>
      <c r="AG48" s="270">
        <f t="shared" si="26"/>
        <v>0</v>
      </c>
      <c r="AH48" s="270">
        <f t="shared" si="26"/>
        <v>0</v>
      </c>
      <c r="AI48" s="270">
        <f t="shared" si="26"/>
        <v>0</v>
      </c>
      <c r="AJ48" s="270">
        <f t="shared" si="26"/>
        <v>0</v>
      </c>
      <c r="AK48" s="270">
        <f t="shared" si="26"/>
        <v>0</v>
      </c>
      <c r="AL48" s="270">
        <f t="shared" si="26"/>
        <v>0</v>
      </c>
      <c r="AM48" s="271">
        <f t="shared" si="20"/>
        <v>0</v>
      </c>
      <c r="AN48" s="272"/>
      <c r="AO48" s="562"/>
    </row>
    <row r="49" spans="2:41" ht="12.75" hidden="1" customHeight="1" x14ac:dyDescent="0.2">
      <c r="B49" s="256"/>
      <c r="C49" s="257"/>
      <c r="D49" s="250"/>
      <c r="E49" s="250"/>
      <c r="F49" s="564"/>
      <c r="G49" s="269" t="str">
        <f t="shared" si="18"/>
        <v>Treueprämie</v>
      </c>
      <c r="H49" s="270">
        <f t="shared" ref="H49:AL49" si="27">H37*TaginSt*H$9/100</f>
        <v>0</v>
      </c>
      <c r="I49" s="270">
        <f t="shared" si="27"/>
        <v>0</v>
      </c>
      <c r="J49" s="270">
        <f t="shared" si="27"/>
        <v>0</v>
      </c>
      <c r="K49" s="270">
        <f t="shared" si="27"/>
        <v>0</v>
      </c>
      <c r="L49" s="270">
        <f t="shared" si="27"/>
        <v>0</v>
      </c>
      <c r="M49" s="270">
        <f t="shared" si="27"/>
        <v>0</v>
      </c>
      <c r="N49" s="270">
        <f t="shared" si="27"/>
        <v>0</v>
      </c>
      <c r="O49" s="270">
        <f t="shared" si="27"/>
        <v>0</v>
      </c>
      <c r="P49" s="270">
        <f t="shared" si="27"/>
        <v>0</v>
      </c>
      <c r="Q49" s="270">
        <f t="shared" si="27"/>
        <v>0</v>
      </c>
      <c r="R49" s="270">
        <f t="shared" si="27"/>
        <v>0</v>
      </c>
      <c r="S49" s="270">
        <f t="shared" si="27"/>
        <v>0</v>
      </c>
      <c r="T49" s="270">
        <f t="shared" si="27"/>
        <v>0</v>
      </c>
      <c r="U49" s="270">
        <f t="shared" si="27"/>
        <v>0</v>
      </c>
      <c r="V49" s="270">
        <f t="shared" si="27"/>
        <v>0</v>
      </c>
      <c r="W49" s="270">
        <f t="shared" si="27"/>
        <v>0</v>
      </c>
      <c r="X49" s="270">
        <f t="shared" si="27"/>
        <v>0</v>
      </c>
      <c r="Y49" s="270">
        <f t="shared" si="27"/>
        <v>0</v>
      </c>
      <c r="Z49" s="270">
        <f t="shared" si="27"/>
        <v>0</v>
      </c>
      <c r="AA49" s="270">
        <f t="shared" si="27"/>
        <v>0</v>
      </c>
      <c r="AB49" s="270">
        <f t="shared" si="27"/>
        <v>0</v>
      </c>
      <c r="AC49" s="270">
        <f t="shared" si="27"/>
        <v>0</v>
      </c>
      <c r="AD49" s="270">
        <f t="shared" si="27"/>
        <v>0</v>
      </c>
      <c r="AE49" s="270">
        <f t="shared" si="27"/>
        <v>0</v>
      </c>
      <c r="AF49" s="270">
        <f t="shared" si="27"/>
        <v>0</v>
      </c>
      <c r="AG49" s="270">
        <f t="shared" si="27"/>
        <v>0</v>
      </c>
      <c r="AH49" s="270">
        <f t="shared" si="27"/>
        <v>0</v>
      </c>
      <c r="AI49" s="270">
        <f t="shared" si="27"/>
        <v>0</v>
      </c>
      <c r="AJ49" s="270">
        <f t="shared" si="27"/>
        <v>0</v>
      </c>
      <c r="AK49" s="270">
        <f t="shared" si="27"/>
        <v>0</v>
      </c>
      <c r="AL49" s="270">
        <f t="shared" si="27"/>
        <v>0</v>
      </c>
      <c r="AM49" s="271">
        <f t="shared" si="20"/>
        <v>0</v>
      </c>
      <c r="AN49" s="272"/>
      <c r="AO49" s="562"/>
    </row>
    <row r="50" spans="2:41" ht="12.75" hidden="1" customHeight="1" x14ac:dyDescent="0.2">
      <c r="B50" s="256"/>
      <c r="C50" s="257"/>
      <c r="D50" s="250"/>
      <c r="E50" s="250"/>
      <c r="F50" s="564"/>
      <c r="G50" s="269" t="str">
        <f t="shared" si="18"/>
        <v>Langzeitkonto</v>
      </c>
      <c r="H50" s="270">
        <f t="shared" ref="H50:AL50" si="28">H38*TaginSt*H$9/100</f>
        <v>0</v>
      </c>
      <c r="I50" s="270">
        <f t="shared" si="28"/>
        <v>0</v>
      </c>
      <c r="J50" s="270">
        <f t="shared" si="28"/>
        <v>0</v>
      </c>
      <c r="K50" s="270">
        <f t="shared" si="28"/>
        <v>0</v>
      </c>
      <c r="L50" s="270">
        <f t="shared" si="28"/>
        <v>0</v>
      </c>
      <c r="M50" s="270">
        <f t="shared" si="28"/>
        <v>0</v>
      </c>
      <c r="N50" s="270">
        <f t="shared" si="28"/>
        <v>0</v>
      </c>
      <c r="O50" s="270">
        <f t="shared" si="28"/>
        <v>0</v>
      </c>
      <c r="P50" s="270">
        <f t="shared" si="28"/>
        <v>0</v>
      </c>
      <c r="Q50" s="270">
        <f t="shared" si="28"/>
        <v>0</v>
      </c>
      <c r="R50" s="270">
        <f t="shared" si="28"/>
        <v>0</v>
      </c>
      <c r="S50" s="270">
        <f t="shared" si="28"/>
        <v>0</v>
      </c>
      <c r="T50" s="270">
        <f t="shared" si="28"/>
        <v>0</v>
      </c>
      <c r="U50" s="270">
        <f t="shared" si="28"/>
        <v>0</v>
      </c>
      <c r="V50" s="270">
        <f t="shared" si="28"/>
        <v>0</v>
      </c>
      <c r="W50" s="270">
        <f t="shared" si="28"/>
        <v>0</v>
      </c>
      <c r="X50" s="270">
        <f t="shared" si="28"/>
        <v>0</v>
      </c>
      <c r="Y50" s="270">
        <f t="shared" si="28"/>
        <v>0</v>
      </c>
      <c r="Z50" s="270">
        <f t="shared" si="28"/>
        <v>0</v>
      </c>
      <c r="AA50" s="270">
        <f t="shared" si="28"/>
        <v>0</v>
      </c>
      <c r="AB50" s="270">
        <f t="shared" si="28"/>
        <v>0</v>
      </c>
      <c r="AC50" s="270">
        <f t="shared" si="28"/>
        <v>0</v>
      </c>
      <c r="AD50" s="270">
        <f t="shared" si="28"/>
        <v>0</v>
      </c>
      <c r="AE50" s="270">
        <f t="shared" si="28"/>
        <v>0</v>
      </c>
      <c r="AF50" s="270">
        <f t="shared" si="28"/>
        <v>0</v>
      </c>
      <c r="AG50" s="270">
        <f t="shared" si="28"/>
        <v>0</v>
      </c>
      <c r="AH50" s="270">
        <f t="shared" si="28"/>
        <v>0</v>
      </c>
      <c r="AI50" s="270">
        <f t="shared" si="28"/>
        <v>0</v>
      </c>
      <c r="AJ50" s="270">
        <f t="shared" si="28"/>
        <v>0</v>
      </c>
      <c r="AK50" s="270">
        <f t="shared" si="28"/>
        <v>0</v>
      </c>
      <c r="AL50" s="270">
        <f t="shared" si="28"/>
        <v>0</v>
      </c>
      <c r="AM50" s="271">
        <f t="shared" si="20"/>
        <v>0</v>
      </c>
      <c r="AN50" s="272"/>
      <c r="AO50" s="562"/>
    </row>
    <row r="51" spans="2:41" ht="12.75" hidden="1" customHeight="1" x14ac:dyDescent="0.2">
      <c r="B51" s="256"/>
      <c r="C51" s="257"/>
      <c r="D51" s="250"/>
      <c r="E51" s="250"/>
      <c r="F51" s="564"/>
      <c r="G51" s="269" t="s">
        <v>168</v>
      </c>
      <c r="H51" s="270">
        <f t="shared" ref="H51:AI51" si="29">IF(OR(H3&gt;0,AND(H9=100,OR(WEEKDAY(H12,2)&lt;7,H1&gt;0))),H3+H14-H26,0)</f>
        <v>0</v>
      </c>
      <c r="I51" s="270">
        <f t="shared" si="29"/>
        <v>0</v>
      </c>
      <c r="J51" s="270">
        <f t="shared" si="29"/>
        <v>8.4</v>
      </c>
      <c r="K51" s="270">
        <f t="shared" si="29"/>
        <v>0</v>
      </c>
      <c r="L51" s="270">
        <f t="shared" si="29"/>
        <v>0</v>
      </c>
      <c r="M51" s="270">
        <f t="shared" si="29"/>
        <v>0</v>
      </c>
      <c r="N51" s="270">
        <f t="shared" si="29"/>
        <v>0</v>
      </c>
      <c r="O51" s="270">
        <f t="shared" si="29"/>
        <v>0</v>
      </c>
      <c r="P51" s="270">
        <f t="shared" si="29"/>
        <v>0</v>
      </c>
      <c r="Q51" s="270">
        <f t="shared" si="29"/>
        <v>8.4</v>
      </c>
      <c r="R51" s="270">
        <f t="shared" si="29"/>
        <v>0</v>
      </c>
      <c r="S51" s="270">
        <f t="shared" si="29"/>
        <v>0</v>
      </c>
      <c r="T51" s="270">
        <f t="shared" si="29"/>
        <v>0</v>
      </c>
      <c r="U51" s="270">
        <f t="shared" si="29"/>
        <v>0</v>
      </c>
      <c r="V51" s="270">
        <f t="shared" si="29"/>
        <v>0</v>
      </c>
      <c r="W51" s="270">
        <f t="shared" si="29"/>
        <v>0</v>
      </c>
      <c r="X51" s="270">
        <f t="shared" si="29"/>
        <v>8.4</v>
      </c>
      <c r="Y51" s="270">
        <f t="shared" si="29"/>
        <v>0</v>
      </c>
      <c r="Z51" s="270">
        <f t="shared" si="29"/>
        <v>0</v>
      </c>
      <c r="AA51" s="270">
        <f t="shared" si="29"/>
        <v>0</v>
      </c>
      <c r="AB51" s="270">
        <f t="shared" si="29"/>
        <v>0</v>
      </c>
      <c r="AC51" s="270">
        <f t="shared" si="29"/>
        <v>0</v>
      </c>
      <c r="AD51" s="270">
        <f t="shared" si="29"/>
        <v>0</v>
      </c>
      <c r="AE51" s="270">
        <f t="shared" si="29"/>
        <v>8.4</v>
      </c>
      <c r="AF51" s="270">
        <f t="shared" si="29"/>
        <v>0</v>
      </c>
      <c r="AG51" s="270">
        <f t="shared" si="29"/>
        <v>0</v>
      </c>
      <c r="AH51" s="270">
        <f t="shared" si="29"/>
        <v>0</v>
      </c>
      <c r="AI51" s="270">
        <f t="shared" si="29"/>
        <v>0</v>
      </c>
      <c r="AJ51" s="270">
        <f>IFERROR(IF(OR(AJ3&gt;0,AND(AJ9=100,OR(WEEKDAY(AJ12,2)&lt;7,AJ1&gt;0))),AJ3+AJ14-AJ26,0),"")</f>
        <v>0</v>
      </c>
      <c r="AK51" s="270">
        <f>IFERROR(IF(OR(AK3&gt;0,AND(AK9=100,OR(WEEKDAY(AK12,2)&lt;7,AK1&gt;0))),AK3+AK14-AK26,0),"")</f>
        <v>0</v>
      </c>
      <c r="AL51" s="270">
        <f>IFERROR(IF(OR(AL3&gt;0,AND(AL9=100,OR(WEEKDAY(AL12,2)&lt;7,AL1&gt;0))),AL3+AL14-AL26,0),"")</f>
        <v>8.4</v>
      </c>
      <c r="AM51" s="271">
        <f t="shared" si="20"/>
        <v>42</v>
      </c>
      <c r="AN51" s="272"/>
      <c r="AO51" s="562"/>
    </row>
    <row r="52" spans="2:41" ht="12.75" hidden="1" customHeight="1" x14ac:dyDescent="0.2">
      <c r="B52" s="256"/>
      <c r="C52" s="257"/>
      <c r="D52" s="250"/>
      <c r="E52" s="250"/>
      <c r="F52" s="564"/>
      <c r="G52" s="269" t="s">
        <v>170</v>
      </c>
      <c r="H52" s="270">
        <f t="shared" ref="H52:AI52" si="30">IF(H4&gt;0,IF(AND(H1&gt;0,H14+H4-H26&lt;=H4),H4,H14+H4-H26),0)</f>
        <v>8.4</v>
      </c>
      <c r="I52" s="270">
        <f t="shared" si="30"/>
        <v>8.4</v>
      </c>
      <c r="J52" s="270">
        <f t="shared" si="30"/>
        <v>0</v>
      </c>
      <c r="K52" s="270">
        <f t="shared" si="30"/>
        <v>0</v>
      </c>
      <c r="L52" s="270">
        <f t="shared" si="30"/>
        <v>8.4</v>
      </c>
      <c r="M52" s="270">
        <f t="shared" si="30"/>
        <v>8.4</v>
      </c>
      <c r="N52" s="270">
        <f t="shared" si="30"/>
        <v>8.4</v>
      </c>
      <c r="O52" s="270">
        <f t="shared" si="30"/>
        <v>8.4</v>
      </c>
      <c r="P52" s="270">
        <f t="shared" si="30"/>
        <v>8.4</v>
      </c>
      <c r="Q52" s="270">
        <f t="shared" si="30"/>
        <v>0</v>
      </c>
      <c r="R52" s="270">
        <f t="shared" si="30"/>
        <v>0</v>
      </c>
      <c r="S52" s="270">
        <f t="shared" si="30"/>
        <v>8.4</v>
      </c>
      <c r="T52" s="270">
        <f t="shared" si="30"/>
        <v>8.4</v>
      </c>
      <c r="U52" s="270">
        <f t="shared" si="30"/>
        <v>8.4</v>
      </c>
      <c r="V52" s="270">
        <f t="shared" si="30"/>
        <v>8.4</v>
      </c>
      <c r="W52" s="270">
        <f t="shared" si="30"/>
        <v>8.4</v>
      </c>
      <c r="X52" s="270">
        <f t="shared" si="30"/>
        <v>0</v>
      </c>
      <c r="Y52" s="270">
        <f t="shared" si="30"/>
        <v>0</v>
      </c>
      <c r="Z52" s="270">
        <f t="shared" si="30"/>
        <v>8.4</v>
      </c>
      <c r="AA52" s="270">
        <f t="shared" si="30"/>
        <v>8.4</v>
      </c>
      <c r="AB52" s="270">
        <f t="shared" si="30"/>
        <v>8.4</v>
      </c>
      <c r="AC52" s="270">
        <f t="shared" si="30"/>
        <v>8.4</v>
      </c>
      <c r="AD52" s="270">
        <f t="shared" si="30"/>
        <v>8.4</v>
      </c>
      <c r="AE52" s="270">
        <f t="shared" si="30"/>
        <v>0</v>
      </c>
      <c r="AF52" s="270">
        <f t="shared" si="30"/>
        <v>0</v>
      </c>
      <c r="AG52" s="270">
        <f t="shared" si="30"/>
        <v>8.4</v>
      </c>
      <c r="AH52" s="270">
        <f t="shared" si="30"/>
        <v>8.4</v>
      </c>
      <c r="AI52" s="270">
        <f t="shared" si="30"/>
        <v>8.4</v>
      </c>
      <c r="AJ52" s="270">
        <f>IFERROR(IF(AJ4&gt;0,IF(AND(AJ1&gt;0,AJ14+AJ4-AJ26&lt;=AJ4),AJ4,AJ14+AJ4-AJ26),0),"")</f>
        <v>0</v>
      </c>
      <c r="AK52" s="270">
        <f>IFERROR(IF(AK4&gt;0,IF(AND(AK1&gt;0,AK14+AK4-AK26&lt;=AK4),AK4,AK14+AK4-AK26),0),"")</f>
        <v>8.4</v>
      </c>
      <c r="AL52" s="270">
        <f>IFERROR(IF(AL4&gt;0,IF(AND(AL1&gt;0,AL14+AL4-AL26&lt;=AL4),AL4,AL14+AL4-AL26),0),"")</f>
        <v>0</v>
      </c>
      <c r="AM52" s="271">
        <f t="shared" si="20"/>
        <v>176.40000000000006</v>
      </c>
      <c r="AN52" s="272"/>
      <c r="AO52" s="562"/>
    </row>
    <row r="53" spans="2:41" ht="12.75" hidden="1" customHeight="1" x14ac:dyDescent="0.2">
      <c r="B53" s="256"/>
      <c r="C53" s="257"/>
      <c r="D53" s="250"/>
      <c r="E53" s="250"/>
      <c r="F53" s="564"/>
      <c r="G53" s="275" t="s">
        <v>173</v>
      </c>
      <c r="H53" s="270">
        <f>IFERROR(H51+H52,"")</f>
        <v>8.4</v>
      </c>
      <c r="I53" s="270">
        <f t="shared" ref="I53:AL53" si="31">IFERROR(I51+I52,"")</f>
        <v>8.4</v>
      </c>
      <c r="J53" s="270">
        <f t="shared" si="31"/>
        <v>8.4</v>
      </c>
      <c r="K53" s="270">
        <f t="shared" si="31"/>
        <v>0</v>
      </c>
      <c r="L53" s="270">
        <f t="shared" si="31"/>
        <v>8.4</v>
      </c>
      <c r="M53" s="270">
        <f t="shared" si="31"/>
        <v>8.4</v>
      </c>
      <c r="N53" s="270">
        <f t="shared" si="31"/>
        <v>8.4</v>
      </c>
      <c r="O53" s="270">
        <f t="shared" si="31"/>
        <v>8.4</v>
      </c>
      <c r="P53" s="270">
        <f t="shared" si="31"/>
        <v>8.4</v>
      </c>
      <c r="Q53" s="270">
        <f t="shared" si="31"/>
        <v>8.4</v>
      </c>
      <c r="R53" s="270">
        <f t="shared" si="31"/>
        <v>0</v>
      </c>
      <c r="S53" s="270">
        <f t="shared" si="31"/>
        <v>8.4</v>
      </c>
      <c r="T53" s="270">
        <f t="shared" si="31"/>
        <v>8.4</v>
      </c>
      <c r="U53" s="270">
        <f t="shared" si="31"/>
        <v>8.4</v>
      </c>
      <c r="V53" s="270">
        <f t="shared" si="31"/>
        <v>8.4</v>
      </c>
      <c r="W53" s="270">
        <f t="shared" si="31"/>
        <v>8.4</v>
      </c>
      <c r="X53" s="270">
        <f t="shared" si="31"/>
        <v>8.4</v>
      </c>
      <c r="Y53" s="270">
        <f t="shared" si="31"/>
        <v>0</v>
      </c>
      <c r="Z53" s="270">
        <f t="shared" si="31"/>
        <v>8.4</v>
      </c>
      <c r="AA53" s="270">
        <f t="shared" si="31"/>
        <v>8.4</v>
      </c>
      <c r="AB53" s="270">
        <f t="shared" si="31"/>
        <v>8.4</v>
      </c>
      <c r="AC53" s="270">
        <f t="shared" si="31"/>
        <v>8.4</v>
      </c>
      <c r="AD53" s="270">
        <f t="shared" si="31"/>
        <v>8.4</v>
      </c>
      <c r="AE53" s="270">
        <f t="shared" si="31"/>
        <v>8.4</v>
      </c>
      <c r="AF53" s="270">
        <f t="shared" si="31"/>
        <v>0</v>
      </c>
      <c r="AG53" s="270">
        <f t="shared" si="31"/>
        <v>8.4</v>
      </c>
      <c r="AH53" s="270">
        <f t="shared" si="31"/>
        <v>8.4</v>
      </c>
      <c r="AI53" s="270">
        <f t="shared" si="31"/>
        <v>8.4</v>
      </c>
      <c r="AJ53" s="270">
        <f t="shared" si="31"/>
        <v>0</v>
      </c>
      <c r="AK53" s="270">
        <f t="shared" si="31"/>
        <v>8.4</v>
      </c>
      <c r="AL53" s="270">
        <f t="shared" si="31"/>
        <v>8.4</v>
      </c>
      <c r="AM53" s="271">
        <f t="shared" si="20"/>
        <v>218.40000000000009</v>
      </c>
      <c r="AN53" s="272"/>
      <c r="AO53" s="562"/>
    </row>
    <row r="54" spans="2:41" ht="12.75" hidden="1" customHeight="1" x14ac:dyDescent="0.2">
      <c r="B54" s="256"/>
      <c r="C54" s="257"/>
      <c r="D54" s="250"/>
      <c r="E54" s="250"/>
      <c r="F54" s="564"/>
      <c r="G54" s="276" t="s">
        <v>219</v>
      </c>
      <c r="H54" s="270" t="str">
        <f>IFERROR(IF(OR((WEEKDAY(H$12,2)=7),H1&gt;0),IF(AND(H26&gt;=H14,H26&gt;0),ROUND((H14-H26)*-1,2),""),""),"")</f>
        <v/>
      </c>
      <c r="I54" s="270" t="str">
        <f t="shared" ref="I54:AL54" si="32">IFERROR(IF(OR((WEEKDAY(I$12,2)=7),I1&gt;0),IF(AND(I26&gt;=I14,I26&gt;0),ROUND((I14-I26)*-1,2),""),""),"")</f>
        <v/>
      </c>
      <c r="J54" s="270" t="str">
        <f t="shared" si="32"/>
        <v/>
      </c>
      <c r="K54" s="270" t="str">
        <f t="shared" si="32"/>
        <v/>
      </c>
      <c r="L54" s="270" t="str">
        <f t="shared" si="32"/>
        <v/>
      </c>
      <c r="M54" s="270" t="str">
        <f t="shared" si="32"/>
        <v/>
      </c>
      <c r="N54" s="270" t="str">
        <f t="shared" si="32"/>
        <v/>
      </c>
      <c r="O54" s="270" t="str">
        <f t="shared" si="32"/>
        <v/>
      </c>
      <c r="P54" s="270" t="str">
        <f t="shared" si="32"/>
        <v/>
      </c>
      <c r="Q54" s="270" t="str">
        <f t="shared" si="32"/>
        <v/>
      </c>
      <c r="R54" s="270" t="str">
        <f t="shared" si="32"/>
        <v/>
      </c>
      <c r="S54" s="270" t="str">
        <f t="shared" si="32"/>
        <v/>
      </c>
      <c r="T54" s="270" t="str">
        <f t="shared" si="32"/>
        <v/>
      </c>
      <c r="U54" s="270" t="str">
        <f t="shared" si="32"/>
        <v/>
      </c>
      <c r="V54" s="270" t="str">
        <f t="shared" si="32"/>
        <v/>
      </c>
      <c r="W54" s="270" t="str">
        <f t="shared" si="32"/>
        <v/>
      </c>
      <c r="X54" s="270" t="str">
        <f t="shared" si="32"/>
        <v/>
      </c>
      <c r="Y54" s="270" t="str">
        <f t="shared" si="32"/>
        <v/>
      </c>
      <c r="Z54" s="270" t="str">
        <f t="shared" si="32"/>
        <v/>
      </c>
      <c r="AA54" s="270" t="str">
        <f t="shared" si="32"/>
        <v/>
      </c>
      <c r="AB54" s="270" t="str">
        <f t="shared" si="32"/>
        <v/>
      </c>
      <c r="AC54" s="270" t="str">
        <f t="shared" si="32"/>
        <v/>
      </c>
      <c r="AD54" s="270" t="str">
        <f t="shared" si="32"/>
        <v/>
      </c>
      <c r="AE54" s="270" t="str">
        <f t="shared" si="32"/>
        <v/>
      </c>
      <c r="AF54" s="270" t="str">
        <f t="shared" si="32"/>
        <v/>
      </c>
      <c r="AG54" s="270" t="str">
        <f t="shared" si="32"/>
        <v/>
      </c>
      <c r="AH54" s="270" t="str">
        <f t="shared" si="32"/>
        <v/>
      </c>
      <c r="AI54" s="270" t="str">
        <f t="shared" si="32"/>
        <v/>
      </c>
      <c r="AJ54" s="270" t="str">
        <f t="shared" si="32"/>
        <v/>
      </c>
      <c r="AK54" s="270" t="str">
        <f t="shared" si="32"/>
        <v/>
      </c>
      <c r="AL54" s="270" t="str">
        <f t="shared" si="32"/>
        <v/>
      </c>
      <c r="AM54" s="271">
        <f t="shared" si="20"/>
        <v>0</v>
      </c>
      <c r="AO54" s="461" t="str">
        <f>_xlfn.TEXTJOIN(" / ",TRUE,H54:AL54)</f>
        <v/>
      </c>
    </row>
    <row r="55" spans="2:41" ht="12.75" hidden="1" customHeight="1" x14ac:dyDescent="0.2">
      <c r="B55" s="256"/>
      <c r="C55" s="257"/>
      <c r="D55" s="250"/>
      <c r="E55" s="250"/>
      <c r="F55" s="565"/>
      <c r="G55" s="277" t="s">
        <v>185</v>
      </c>
      <c r="H55" s="270">
        <f t="shared" ref="H55:AL55" si="33">IF(AND(H14&gt;0,H26=0),(H6*TaginSt)-H4,0)</f>
        <v>6.72</v>
      </c>
      <c r="I55" s="270">
        <f t="shared" si="33"/>
        <v>6.72</v>
      </c>
      <c r="J55" s="270">
        <f t="shared" si="33"/>
        <v>0</v>
      </c>
      <c r="K55" s="270">
        <f t="shared" si="33"/>
        <v>0</v>
      </c>
      <c r="L55" s="270">
        <f t="shared" si="33"/>
        <v>6.72</v>
      </c>
      <c r="M55" s="270">
        <f t="shared" si="33"/>
        <v>6.72</v>
      </c>
      <c r="N55" s="270">
        <f t="shared" si="33"/>
        <v>6.72</v>
      </c>
      <c r="O55" s="270">
        <f t="shared" si="33"/>
        <v>6.72</v>
      </c>
      <c r="P55" s="270">
        <f t="shared" si="33"/>
        <v>6.72</v>
      </c>
      <c r="Q55" s="270">
        <f t="shared" si="33"/>
        <v>0</v>
      </c>
      <c r="R55" s="270">
        <f t="shared" si="33"/>
        <v>0</v>
      </c>
      <c r="S55" s="270">
        <f t="shared" si="33"/>
        <v>6.72</v>
      </c>
      <c r="T55" s="270">
        <f t="shared" si="33"/>
        <v>6.72</v>
      </c>
      <c r="U55" s="270">
        <f t="shared" si="33"/>
        <v>6.72</v>
      </c>
      <c r="V55" s="270">
        <f t="shared" si="33"/>
        <v>6.72</v>
      </c>
      <c r="W55" s="270">
        <f t="shared" si="33"/>
        <v>6.72</v>
      </c>
      <c r="X55" s="270">
        <f t="shared" si="33"/>
        <v>0</v>
      </c>
      <c r="Y55" s="270">
        <f t="shared" si="33"/>
        <v>0</v>
      </c>
      <c r="Z55" s="270">
        <f t="shared" si="33"/>
        <v>6.72</v>
      </c>
      <c r="AA55" s="270">
        <f t="shared" si="33"/>
        <v>6.72</v>
      </c>
      <c r="AB55" s="270">
        <f t="shared" si="33"/>
        <v>6.72</v>
      </c>
      <c r="AC55" s="270">
        <f t="shared" si="33"/>
        <v>6.72</v>
      </c>
      <c r="AD55" s="270">
        <f t="shared" si="33"/>
        <v>6.72</v>
      </c>
      <c r="AE55" s="270">
        <f t="shared" si="33"/>
        <v>0</v>
      </c>
      <c r="AF55" s="270">
        <f t="shared" si="33"/>
        <v>0</v>
      </c>
      <c r="AG55" s="270">
        <f t="shared" si="33"/>
        <v>6.72</v>
      </c>
      <c r="AH55" s="270">
        <f t="shared" si="33"/>
        <v>6.72</v>
      </c>
      <c r="AI55" s="270">
        <f t="shared" si="33"/>
        <v>6.72</v>
      </c>
      <c r="AJ55" s="270">
        <f t="shared" si="33"/>
        <v>0</v>
      </c>
      <c r="AK55" s="270">
        <f t="shared" si="33"/>
        <v>6.72</v>
      </c>
      <c r="AL55" s="270">
        <f t="shared" si="33"/>
        <v>0</v>
      </c>
      <c r="AM55" s="271">
        <f t="shared" si="20"/>
        <v>141.12</v>
      </c>
      <c r="AN55" s="272"/>
    </row>
    <row r="56" spans="2:41" ht="12.75" hidden="1" customHeight="1" x14ac:dyDescent="0.2">
      <c r="B56" s="256"/>
      <c r="C56" s="257"/>
      <c r="D56" s="250"/>
      <c r="E56" s="250"/>
      <c r="F56" s="583" t="s">
        <v>265</v>
      </c>
      <c r="G56" s="278" t="str">
        <f t="shared" ref="G56:G64" si="34">G30</f>
        <v>Ferien</v>
      </c>
      <c r="H56" s="279" t="str">
        <f>IF(OR(H42="",H42=0),"",ROUND(H42,2)&amp;" F")</f>
        <v/>
      </c>
      <c r="I56" s="279" t="str">
        <f t="shared" ref="I56:AL56" si="35">IF(OR(I42="",I42=0),"",ROUND(I42,2)&amp;" F")</f>
        <v/>
      </c>
      <c r="J56" s="279" t="str">
        <f t="shared" si="35"/>
        <v/>
      </c>
      <c r="K56" s="279" t="str">
        <f t="shared" si="35"/>
        <v/>
      </c>
      <c r="L56" s="279" t="str">
        <f t="shared" si="35"/>
        <v/>
      </c>
      <c r="M56" s="279" t="str">
        <f t="shared" si="35"/>
        <v/>
      </c>
      <c r="N56" s="279" t="str">
        <f t="shared" si="35"/>
        <v/>
      </c>
      <c r="O56" s="279" t="str">
        <f t="shared" si="35"/>
        <v/>
      </c>
      <c r="P56" s="279" t="str">
        <f t="shared" si="35"/>
        <v/>
      </c>
      <c r="Q56" s="279" t="str">
        <f t="shared" si="35"/>
        <v/>
      </c>
      <c r="R56" s="279" t="str">
        <f t="shared" si="35"/>
        <v/>
      </c>
      <c r="S56" s="279" t="str">
        <f t="shared" si="35"/>
        <v/>
      </c>
      <c r="T56" s="279" t="str">
        <f t="shared" si="35"/>
        <v/>
      </c>
      <c r="U56" s="279" t="str">
        <f t="shared" si="35"/>
        <v/>
      </c>
      <c r="V56" s="279" t="str">
        <f t="shared" si="35"/>
        <v/>
      </c>
      <c r="W56" s="279" t="str">
        <f t="shared" si="35"/>
        <v/>
      </c>
      <c r="X56" s="279" t="str">
        <f t="shared" si="35"/>
        <v/>
      </c>
      <c r="Y56" s="279" t="str">
        <f t="shared" si="35"/>
        <v/>
      </c>
      <c r="Z56" s="279" t="str">
        <f t="shared" si="35"/>
        <v/>
      </c>
      <c r="AA56" s="279" t="str">
        <f t="shared" si="35"/>
        <v/>
      </c>
      <c r="AB56" s="279" t="str">
        <f t="shared" si="35"/>
        <v/>
      </c>
      <c r="AC56" s="279" t="str">
        <f t="shared" si="35"/>
        <v/>
      </c>
      <c r="AD56" s="279" t="str">
        <f t="shared" si="35"/>
        <v/>
      </c>
      <c r="AE56" s="279" t="str">
        <f t="shared" si="35"/>
        <v/>
      </c>
      <c r="AF56" s="279" t="str">
        <f t="shared" si="35"/>
        <v/>
      </c>
      <c r="AG56" s="279" t="str">
        <f t="shared" si="35"/>
        <v/>
      </c>
      <c r="AH56" s="279" t="str">
        <f t="shared" si="35"/>
        <v/>
      </c>
      <c r="AI56" s="279" t="str">
        <f t="shared" si="35"/>
        <v/>
      </c>
      <c r="AJ56" s="279" t="str">
        <f t="shared" si="35"/>
        <v/>
      </c>
      <c r="AK56" s="279" t="str">
        <f t="shared" si="35"/>
        <v/>
      </c>
      <c r="AL56" s="279" t="str">
        <f t="shared" si="35"/>
        <v/>
      </c>
      <c r="AM56" s="280" t="str">
        <f>ROUND(AM42,2)&amp;" F"</f>
        <v>0 F</v>
      </c>
      <c r="AN56" s="272"/>
    </row>
    <row r="57" spans="2:41" ht="12.75" hidden="1" customHeight="1" x14ac:dyDescent="0.2">
      <c r="B57" s="256"/>
      <c r="C57" s="257"/>
      <c r="D57" s="250"/>
      <c r="E57" s="250"/>
      <c r="F57" s="584"/>
      <c r="G57" s="278" t="str">
        <f t="shared" si="34"/>
        <v>Krank./Unfall (%)</v>
      </c>
      <c r="H57" s="279" t="str">
        <f>IF(OR(H43="",H43=0),"",ROUND(H43,2)&amp;" K")</f>
        <v/>
      </c>
      <c r="I57" s="279" t="str">
        <f t="shared" ref="I57:AL57" si="36">IF(OR(I43="",I43=0),"",ROUND(I43,2)&amp;" K")</f>
        <v/>
      </c>
      <c r="J57" s="279" t="str">
        <f t="shared" si="36"/>
        <v/>
      </c>
      <c r="K57" s="279" t="str">
        <f t="shared" si="36"/>
        <v/>
      </c>
      <c r="L57" s="279" t="str">
        <f t="shared" si="36"/>
        <v/>
      </c>
      <c r="M57" s="279" t="str">
        <f t="shared" si="36"/>
        <v/>
      </c>
      <c r="N57" s="279" t="str">
        <f t="shared" si="36"/>
        <v/>
      </c>
      <c r="O57" s="279" t="str">
        <f t="shared" si="36"/>
        <v/>
      </c>
      <c r="P57" s="279" t="str">
        <f t="shared" si="36"/>
        <v/>
      </c>
      <c r="Q57" s="279" t="str">
        <f t="shared" si="36"/>
        <v/>
      </c>
      <c r="R57" s="279" t="str">
        <f t="shared" si="36"/>
        <v/>
      </c>
      <c r="S57" s="279" t="str">
        <f t="shared" si="36"/>
        <v/>
      </c>
      <c r="T57" s="279" t="str">
        <f t="shared" si="36"/>
        <v/>
      </c>
      <c r="U57" s="279" t="str">
        <f t="shared" si="36"/>
        <v/>
      </c>
      <c r="V57" s="279" t="str">
        <f t="shared" si="36"/>
        <v/>
      </c>
      <c r="W57" s="279" t="str">
        <f t="shared" si="36"/>
        <v/>
      </c>
      <c r="X57" s="279" t="str">
        <f t="shared" si="36"/>
        <v/>
      </c>
      <c r="Y57" s="279" t="str">
        <f t="shared" si="36"/>
        <v/>
      </c>
      <c r="Z57" s="279" t="str">
        <f t="shared" si="36"/>
        <v/>
      </c>
      <c r="AA57" s="279" t="str">
        <f t="shared" si="36"/>
        <v/>
      </c>
      <c r="AB57" s="279" t="str">
        <f t="shared" si="36"/>
        <v/>
      </c>
      <c r="AC57" s="279" t="str">
        <f t="shared" si="36"/>
        <v/>
      </c>
      <c r="AD57" s="279" t="str">
        <f t="shared" si="36"/>
        <v/>
      </c>
      <c r="AE57" s="279" t="str">
        <f t="shared" si="36"/>
        <v/>
      </c>
      <c r="AF57" s="279" t="str">
        <f t="shared" si="36"/>
        <v/>
      </c>
      <c r="AG57" s="279" t="str">
        <f t="shared" si="36"/>
        <v/>
      </c>
      <c r="AH57" s="279" t="str">
        <f t="shared" si="36"/>
        <v/>
      </c>
      <c r="AI57" s="279" t="str">
        <f t="shared" si="36"/>
        <v/>
      </c>
      <c r="AJ57" s="279" t="str">
        <f t="shared" si="36"/>
        <v/>
      </c>
      <c r="AK57" s="279" t="str">
        <f t="shared" si="36"/>
        <v/>
      </c>
      <c r="AL57" s="279" t="str">
        <f t="shared" si="36"/>
        <v/>
      </c>
      <c r="AM57" s="280" t="str">
        <f>ROUND(AM43,2)&amp;" K"</f>
        <v>0 K</v>
      </c>
      <c r="AN57" s="272"/>
    </row>
    <row r="58" spans="2:41" ht="12.75" hidden="1" customHeight="1" x14ac:dyDescent="0.2">
      <c r="B58" s="256"/>
      <c r="C58" s="257"/>
      <c r="D58" s="250"/>
      <c r="E58" s="250"/>
      <c r="F58" s="584"/>
      <c r="G58" s="278" t="str">
        <f t="shared" si="34"/>
        <v>Kurzurl./öff. Amt</v>
      </c>
      <c r="H58" s="279" t="str">
        <f>IF(OR(H44="",H44=0),"",ROUND(H44,2)&amp;" KU")</f>
        <v/>
      </c>
      <c r="I58" s="279" t="str">
        <f t="shared" ref="I58:AL58" si="37">IF(OR(I44="",I44=0),"",ROUND(I44,2)&amp;" KU")</f>
        <v/>
      </c>
      <c r="J58" s="279" t="str">
        <f t="shared" si="37"/>
        <v/>
      </c>
      <c r="K58" s="279" t="str">
        <f t="shared" si="37"/>
        <v/>
      </c>
      <c r="L58" s="279" t="str">
        <f t="shared" si="37"/>
        <v/>
      </c>
      <c r="M58" s="279" t="str">
        <f t="shared" si="37"/>
        <v/>
      </c>
      <c r="N58" s="279" t="str">
        <f t="shared" si="37"/>
        <v/>
      </c>
      <c r="O58" s="279" t="str">
        <f t="shared" si="37"/>
        <v/>
      </c>
      <c r="P58" s="279" t="str">
        <f t="shared" si="37"/>
        <v/>
      </c>
      <c r="Q58" s="279" t="str">
        <f t="shared" si="37"/>
        <v/>
      </c>
      <c r="R58" s="279" t="str">
        <f t="shared" si="37"/>
        <v/>
      </c>
      <c r="S58" s="279" t="str">
        <f t="shared" si="37"/>
        <v/>
      </c>
      <c r="T58" s="279" t="str">
        <f t="shared" si="37"/>
        <v/>
      </c>
      <c r="U58" s="279" t="str">
        <f t="shared" si="37"/>
        <v/>
      </c>
      <c r="V58" s="279" t="str">
        <f t="shared" si="37"/>
        <v/>
      </c>
      <c r="W58" s="279" t="str">
        <f t="shared" si="37"/>
        <v/>
      </c>
      <c r="X58" s="279" t="str">
        <f t="shared" si="37"/>
        <v/>
      </c>
      <c r="Y58" s="279" t="str">
        <f t="shared" si="37"/>
        <v/>
      </c>
      <c r="Z58" s="279" t="str">
        <f t="shared" si="37"/>
        <v/>
      </c>
      <c r="AA58" s="279" t="str">
        <f t="shared" si="37"/>
        <v/>
      </c>
      <c r="AB58" s="279" t="str">
        <f t="shared" si="37"/>
        <v/>
      </c>
      <c r="AC58" s="279" t="str">
        <f t="shared" si="37"/>
        <v/>
      </c>
      <c r="AD58" s="279" t="str">
        <f t="shared" si="37"/>
        <v/>
      </c>
      <c r="AE58" s="279" t="str">
        <f t="shared" si="37"/>
        <v/>
      </c>
      <c r="AF58" s="279" t="str">
        <f t="shared" si="37"/>
        <v/>
      </c>
      <c r="AG58" s="279" t="str">
        <f t="shared" si="37"/>
        <v/>
      </c>
      <c r="AH58" s="279" t="str">
        <f t="shared" si="37"/>
        <v/>
      </c>
      <c r="AI58" s="279" t="str">
        <f t="shared" si="37"/>
        <v/>
      </c>
      <c r="AJ58" s="279" t="str">
        <f t="shared" si="37"/>
        <v/>
      </c>
      <c r="AK58" s="279" t="str">
        <f t="shared" si="37"/>
        <v/>
      </c>
      <c r="AL58" s="279" t="str">
        <f t="shared" si="37"/>
        <v/>
      </c>
      <c r="AM58" s="280" t="str">
        <f>ROUND(AM44,2)&amp;" KU"</f>
        <v>0 KU</v>
      </c>
      <c r="AN58" s="272"/>
    </row>
    <row r="59" spans="2:41" ht="12.75" hidden="1" customHeight="1" x14ac:dyDescent="0.2">
      <c r="B59" s="256"/>
      <c r="C59" s="257"/>
      <c r="D59" s="250"/>
      <c r="E59" s="250"/>
      <c r="F59" s="584"/>
      <c r="G59" s="278" t="str">
        <f t="shared" si="34"/>
        <v>Militär/CT/ZS/J&amp;S</v>
      </c>
      <c r="H59" s="279" t="str">
        <f>IF(OR(H45="",H45=0),"",ROUND(H45,2)&amp;" MI")</f>
        <v/>
      </c>
      <c r="I59" s="279" t="str">
        <f t="shared" ref="I59:AL59" si="38">IF(OR(I45="",I45=0),"",ROUND(I45,2)&amp;" MI")</f>
        <v/>
      </c>
      <c r="J59" s="279" t="str">
        <f t="shared" si="38"/>
        <v/>
      </c>
      <c r="K59" s="279" t="str">
        <f t="shared" si="38"/>
        <v/>
      </c>
      <c r="L59" s="279" t="str">
        <f t="shared" si="38"/>
        <v/>
      </c>
      <c r="M59" s="279" t="str">
        <f t="shared" si="38"/>
        <v/>
      </c>
      <c r="N59" s="279" t="str">
        <f t="shared" si="38"/>
        <v/>
      </c>
      <c r="O59" s="279" t="str">
        <f t="shared" si="38"/>
        <v/>
      </c>
      <c r="P59" s="279" t="str">
        <f t="shared" si="38"/>
        <v/>
      </c>
      <c r="Q59" s="279" t="str">
        <f t="shared" si="38"/>
        <v/>
      </c>
      <c r="R59" s="279" t="str">
        <f t="shared" si="38"/>
        <v/>
      </c>
      <c r="S59" s="279" t="str">
        <f t="shared" si="38"/>
        <v/>
      </c>
      <c r="T59" s="279" t="str">
        <f t="shared" si="38"/>
        <v/>
      </c>
      <c r="U59" s="279" t="str">
        <f t="shared" si="38"/>
        <v/>
      </c>
      <c r="V59" s="279" t="str">
        <f t="shared" si="38"/>
        <v/>
      </c>
      <c r="W59" s="279" t="str">
        <f t="shared" si="38"/>
        <v/>
      </c>
      <c r="X59" s="279" t="str">
        <f t="shared" si="38"/>
        <v/>
      </c>
      <c r="Y59" s="279" t="str">
        <f t="shared" si="38"/>
        <v/>
      </c>
      <c r="Z59" s="279" t="str">
        <f t="shared" si="38"/>
        <v/>
      </c>
      <c r="AA59" s="279" t="str">
        <f t="shared" si="38"/>
        <v/>
      </c>
      <c r="AB59" s="279" t="str">
        <f t="shared" si="38"/>
        <v/>
      </c>
      <c r="AC59" s="279" t="str">
        <f t="shared" si="38"/>
        <v/>
      </c>
      <c r="AD59" s="279" t="str">
        <f t="shared" si="38"/>
        <v/>
      </c>
      <c r="AE59" s="279" t="str">
        <f t="shared" si="38"/>
        <v/>
      </c>
      <c r="AF59" s="279" t="str">
        <f t="shared" si="38"/>
        <v/>
      </c>
      <c r="AG59" s="279" t="str">
        <f t="shared" si="38"/>
        <v/>
      </c>
      <c r="AH59" s="279" t="str">
        <f t="shared" si="38"/>
        <v/>
      </c>
      <c r="AI59" s="279" t="str">
        <f t="shared" si="38"/>
        <v/>
      </c>
      <c r="AJ59" s="279" t="str">
        <f t="shared" si="38"/>
        <v/>
      </c>
      <c r="AK59" s="279" t="str">
        <f t="shared" si="38"/>
        <v/>
      </c>
      <c r="AL59" s="279" t="str">
        <f t="shared" si="38"/>
        <v/>
      </c>
      <c r="AM59" s="280" t="str">
        <f>ROUND(AM45,2)&amp;" MI"</f>
        <v>0 MI</v>
      </c>
      <c r="AN59" s="272"/>
    </row>
    <row r="60" spans="2:41" ht="12.75" hidden="1" customHeight="1" x14ac:dyDescent="0.2">
      <c r="B60" s="256"/>
      <c r="C60" s="257"/>
      <c r="D60" s="250"/>
      <c r="E60" s="250"/>
      <c r="F60" s="584"/>
      <c r="G60" s="278" t="str">
        <f t="shared" si="34"/>
        <v>Weiterbildung</v>
      </c>
      <c r="H60" s="279" t="str">
        <f>IF(OR(H46="",H46=0),"",ROUND(H46,2)&amp;" WB")</f>
        <v/>
      </c>
      <c r="I60" s="279" t="str">
        <f t="shared" ref="I60:AL60" si="39">IF(OR(I46="",I46=0),"",ROUND(I46,2)&amp;" WB")</f>
        <v/>
      </c>
      <c r="J60" s="279" t="str">
        <f t="shared" si="39"/>
        <v/>
      </c>
      <c r="K60" s="279" t="str">
        <f t="shared" si="39"/>
        <v/>
      </c>
      <c r="L60" s="279" t="str">
        <f t="shared" si="39"/>
        <v/>
      </c>
      <c r="M60" s="279" t="str">
        <f t="shared" si="39"/>
        <v/>
      </c>
      <c r="N60" s="279" t="str">
        <f t="shared" si="39"/>
        <v/>
      </c>
      <c r="O60" s="279" t="str">
        <f t="shared" si="39"/>
        <v/>
      </c>
      <c r="P60" s="279" t="str">
        <f t="shared" si="39"/>
        <v/>
      </c>
      <c r="Q60" s="279" t="str">
        <f t="shared" si="39"/>
        <v/>
      </c>
      <c r="R60" s="279" t="str">
        <f t="shared" si="39"/>
        <v/>
      </c>
      <c r="S60" s="279" t="str">
        <f t="shared" si="39"/>
        <v/>
      </c>
      <c r="T60" s="279" t="str">
        <f t="shared" si="39"/>
        <v/>
      </c>
      <c r="U60" s="279" t="str">
        <f t="shared" si="39"/>
        <v/>
      </c>
      <c r="V60" s="279" t="str">
        <f t="shared" si="39"/>
        <v/>
      </c>
      <c r="W60" s="279" t="str">
        <f t="shared" si="39"/>
        <v/>
      </c>
      <c r="X60" s="279" t="str">
        <f t="shared" si="39"/>
        <v/>
      </c>
      <c r="Y60" s="279" t="str">
        <f t="shared" si="39"/>
        <v/>
      </c>
      <c r="Z60" s="279" t="str">
        <f t="shared" si="39"/>
        <v/>
      </c>
      <c r="AA60" s="279" t="str">
        <f t="shared" si="39"/>
        <v/>
      </c>
      <c r="AB60" s="279" t="str">
        <f t="shared" si="39"/>
        <v/>
      </c>
      <c r="AC60" s="279" t="str">
        <f t="shared" si="39"/>
        <v/>
      </c>
      <c r="AD60" s="279" t="str">
        <f t="shared" si="39"/>
        <v/>
      </c>
      <c r="AE60" s="279" t="str">
        <f t="shared" si="39"/>
        <v/>
      </c>
      <c r="AF60" s="279" t="str">
        <f t="shared" si="39"/>
        <v/>
      </c>
      <c r="AG60" s="279" t="str">
        <f t="shared" si="39"/>
        <v/>
      </c>
      <c r="AH60" s="279" t="str">
        <f t="shared" si="39"/>
        <v/>
      </c>
      <c r="AI60" s="279" t="str">
        <f t="shared" si="39"/>
        <v/>
      </c>
      <c r="AJ60" s="279" t="str">
        <f t="shared" si="39"/>
        <v/>
      </c>
      <c r="AK60" s="279" t="str">
        <f t="shared" si="39"/>
        <v/>
      </c>
      <c r="AL60" s="279" t="str">
        <f t="shared" si="39"/>
        <v/>
      </c>
      <c r="AM60" s="280" t="str">
        <f>ROUND(AM46,2)&amp;" WB"</f>
        <v>0 WB</v>
      </c>
      <c r="AN60" s="272"/>
    </row>
    <row r="61" spans="2:41" ht="12.75" hidden="1" customHeight="1" x14ac:dyDescent="0.2">
      <c r="B61" s="256"/>
      <c r="C61" s="257"/>
      <c r="D61" s="250"/>
      <c r="E61" s="250"/>
      <c r="F61" s="584"/>
      <c r="G61" s="278" t="str">
        <f t="shared" si="34"/>
        <v>Studienurlaub</v>
      </c>
      <c r="H61" s="279" t="str">
        <f>IF(OR(H47="",H47=0),"",ROUND(H47,2)&amp;" WB")</f>
        <v/>
      </c>
      <c r="I61" s="279" t="str">
        <f t="shared" ref="I61:AL61" si="40">IF(OR(I47="",I47=0),"",ROUND(I47,2)&amp;" WB")</f>
        <v/>
      </c>
      <c r="J61" s="279" t="str">
        <f t="shared" si="40"/>
        <v/>
      </c>
      <c r="K61" s="279" t="str">
        <f t="shared" si="40"/>
        <v/>
      </c>
      <c r="L61" s="279" t="str">
        <f t="shared" si="40"/>
        <v/>
      </c>
      <c r="M61" s="279" t="str">
        <f t="shared" si="40"/>
        <v/>
      </c>
      <c r="N61" s="279" t="str">
        <f t="shared" si="40"/>
        <v/>
      </c>
      <c r="O61" s="279" t="str">
        <f t="shared" si="40"/>
        <v/>
      </c>
      <c r="P61" s="279" t="str">
        <f t="shared" si="40"/>
        <v/>
      </c>
      <c r="Q61" s="279" t="str">
        <f t="shared" si="40"/>
        <v/>
      </c>
      <c r="R61" s="279" t="str">
        <f t="shared" si="40"/>
        <v/>
      </c>
      <c r="S61" s="279" t="str">
        <f t="shared" si="40"/>
        <v/>
      </c>
      <c r="T61" s="279" t="str">
        <f t="shared" si="40"/>
        <v/>
      </c>
      <c r="U61" s="279" t="str">
        <f t="shared" si="40"/>
        <v/>
      </c>
      <c r="V61" s="279" t="str">
        <f t="shared" si="40"/>
        <v/>
      </c>
      <c r="W61" s="279" t="str">
        <f t="shared" si="40"/>
        <v/>
      </c>
      <c r="X61" s="279" t="str">
        <f t="shared" si="40"/>
        <v/>
      </c>
      <c r="Y61" s="279" t="str">
        <f t="shared" si="40"/>
        <v/>
      </c>
      <c r="Z61" s="279" t="str">
        <f t="shared" si="40"/>
        <v/>
      </c>
      <c r="AA61" s="279" t="str">
        <f t="shared" si="40"/>
        <v/>
      </c>
      <c r="AB61" s="279" t="str">
        <f t="shared" si="40"/>
        <v/>
      </c>
      <c r="AC61" s="279" t="str">
        <f t="shared" si="40"/>
        <v/>
      </c>
      <c r="AD61" s="279" t="str">
        <f t="shared" si="40"/>
        <v/>
      </c>
      <c r="AE61" s="279" t="str">
        <f t="shared" si="40"/>
        <v/>
      </c>
      <c r="AF61" s="279" t="str">
        <f t="shared" si="40"/>
        <v/>
      </c>
      <c r="AG61" s="279" t="str">
        <f t="shared" si="40"/>
        <v/>
      </c>
      <c r="AH61" s="279" t="str">
        <f t="shared" si="40"/>
        <v/>
      </c>
      <c r="AI61" s="279" t="str">
        <f t="shared" si="40"/>
        <v/>
      </c>
      <c r="AJ61" s="279" t="str">
        <f t="shared" si="40"/>
        <v/>
      </c>
      <c r="AK61" s="279" t="str">
        <f t="shared" si="40"/>
        <v/>
      </c>
      <c r="AL61" s="279" t="str">
        <f t="shared" si="40"/>
        <v/>
      </c>
      <c r="AM61" s="280" t="str">
        <f>ROUND(AM47,2)&amp;" STU"</f>
        <v>0 STU</v>
      </c>
      <c r="AN61" s="272"/>
    </row>
    <row r="62" spans="2:41" ht="12.75" hidden="1" customHeight="1" x14ac:dyDescent="0.2">
      <c r="B62" s="256"/>
      <c r="C62" s="257"/>
      <c r="D62" s="250"/>
      <c r="E62" s="250"/>
      <c r="F62" s="584"/>
      <c r="G62" s="278" t="str">
        <f t="shared" si="34"/>
        <v>Mu-/Vat.</v>
      </c>
      <c r="H62" s="279" t="str">
        <f>IF(OR(H48="",H48=0),"",ROUND(H48,2)&amp;" MU")</f>
        <v/>
      </c>
      <c r="I62" s="279" t="str">
        <f t="shared" ref="I62:AL62" si="41">IF(OR(I48="",I48=0),"",ROUND(I48,2)&amp;" MU")</f>
        <v/>
      </c>
      <c r="J62" s="279" t="str">
        <f t="shared" si="41"/>
        <v/>
      </c>
      <c r="K62" s="279" t="str">
        <f t="shared" si="41"/>
        <v/>
      </c>
      <c r="L62" s="279" t="str">
        <f t="shared" si="41"/>
        <v/>
      </c>
      <c r="M62" s="279" t="str">
        <f t="shared" si="41"/>
        <v/>
      </c>
      <c r="N62" s="279" t="str">
        <f t="shared" si="41"/>
        <v/>
      </c>
      <c r="O62" s="279" t="str">
        <f t="shared" si="41"/>
        <v/>
      </c>
      <c r="P62" s="279" t="str">
        <f t="shared" si="41"/>
        <v/>
      </c>
      <c r="Q62" s="279" t="str">
        <f t="shared" si="41"/>
        <v/>
      </c>
      <c r="R62" s="279" t="str">
        <f t="shared" si="41"/>
        <v/>
      </c>
      <c r="S62" s="279" t="str">
        <f t="shared" si="41"/>
        <v/>
      </c>
      <c r="T62" s="279" t="str">
        <f t="shared" si="41"/>
        <v/>
      </c>
      <c r="U62" s="279" t="str">
        <f t="shared" si="41"/>
        <v/>
      </c>
      <c r="V62" s="279" t="str">
        <f t="shared" si="41"/>
        <v/>
      </c>
      <c r="W62" s="279" t="str">
        <f t="shared" si="41"/>
        <v/>
      </c>
      <c r="X62" s="279" t="str">
        <f t="shared" si="41"/>
        <v/>
      </c>
      <c r="Y62" s="279" t="str">
        <f t="shared" si="41"/>
        <v/>
      </c>
      <c r="Z62" s="279" t="str">
        <f t="shared" si="41"/>
        <v/>
      </c>
      <c r="AA62" s="279" t="str">
        <f t="shared" si="41"/>
        <v/>
      </c>
      <c r="AB62" s="279" t="str">
        <f t="shared" si="41"/>
        <v/>
      </c>
      <c r="AC62" s="279" t="str">
        <f t="shared" si="41"/>
        <v/>
      </c>
      <c r="AD62" s="279" t="str">
        <f t="shared" si="41"/>
        <v/>
      </c>
      <c r="AE62" s="279" t="str">
        <f t="shared" si="41"/>
        <v/>
      </c>
      <c r="AF62" s="279" t="str">
        <f t="shared" si="41"/>
        <v/>
      </c>
      <c r="AG62" s="279" t="str">
        <f t="shared" si="41"/>
        <v/>
      </c>
      <c r="AH62" s="279" t="str">
        <f t="shared" si="41"/>
        <v/>
      </c>
      <c r="AI62" s="279" t="str">
        <f t="shared" si="41"/>
        <v/>
      </c>
      <c r="AJ62" s="279" t="str">
        <f t="shared" si="41"/>
        <v/>
      </c>
      <c r="AK62" s="279" t="str">
        <f t="shared" si="41"/>
        <v/>
      </c>
      <c r="AL62" s="279" t="str">
        <f t="shared" si="41"/>
        <v/>
      </c>
      <c r="AM62" s="280" t="str">
        <f>ROUND(AM48,2)&amp;" MU"</f>
        <v>0 MU</v>
      </c>
      <c r="AN62" s="272"/>
    </row>
    <row r="63" spans="2:41" ht="12.75" hidden="1" customHeight="1" x14ac:dyDescent="0.2">
      <c r="B63" s="256"/>
      <c r="C63" s="257"/>
      <c r="D63" s="250"/>
      <c r="E63" s="250"/>
      <c r="F63" s="584"/>
      <c r="G63" s="278" t="str">
        <f t="shared" si="34"/>
        <v>Treueprämie</v>
      </c>
      <c r="H63" s="279" t="str">
        <f>IF(OR(H49="",H49=0),"",ROUND(H49,2)&amp;" TRP")</f>
        <v/>
      </c>
      <c r="I63" s="279" t="str">
        <f t="shared" ref="I63:AL63" si="42">IF(OR(I49="",I49=0),"",ROUND(I49,2)&amp;" TRP")</f>
        <v/>
      </c>
      <c r="J63" s="279" t="str">
        <f t="shared" si="42"/>
        <v/>
      </c>
      <c r="K63" s="279" t="str">
        <f t="shared" si="42"/>
        <v/>
      </c>
      <c r="L63" s="279" t="str">
        <f t="shared" si="42"/>
        <v/>
      </c>
      <c r="M63" s="279" t="str">
        <f t="shared" si="42"/>
        <v/>
      </c>
      <c r="N63" s="279" t="str">
        <f t="shared" si="42"/>
        <v/>
      </c>
      <c r="O63" s="279" t="str">
        <f t="shared" si="42"/>
        <v/>
      </c>
      <c r="P63" s="279" t="str">
        <f t="shared" si="42"/>
        <v/>
      </c>
      <c r="Q63" s="279" t="str">
        <f t="shared" si="42"/>
        <v/>
      </c>
      <c r="R63" s="279" t="str">
        <f t="shared" si="42"/>
        <v/>
      </c>
      <c r="S63" s="279" t="str">
        <f t="shared" si="42"/>
        <v/>
      </c>
      <c r="T63" s="279" t="str">
        <f t="shared" si="42"/>
        <v/>
      </c>
      <c r="U63" s="279" t="str">
        <f t="shared" si="42"/>
        <v/>
      </c>
      <c r="V63" s="279" t="str">
        <f t="shared" si="42"/>
        <v/>
      </c>
      <c r="W63" s="279" t="str">
        <f t="shared" si="42"/>
        <v/>
      </c>
      <c r="X63" s="279" t="str">
        <f t="shared" si="42"/>
        <v/>
      </c>
      <c r="Y63" s="279" t="str">
        <f t="shared" si="42"/>
        <v/>
      </c>
      <c r="Z63" s="279" t="str">
        <f t="shared" si="42"/>
        <v/>
      </c>
      <c r="AA63" s="279" t="str">
        <f t="shared" si="42"/>
        <v/>
      </c>
      <c r="AB63" s="279" t="str">
        <f t="shared" si="42"/>
        <v/>
      </c>
      <c r="AC63" s="279" t="str">
        <f t="shared" si="42"/>
        <v/>
      </c>
      <c r="AD63" s="279" t="str">
        <f t="shared" si="42"/>
        <v/>
      </c>
      <c r="AE63" s="279" t="str">
        <f t="shared" si="42"/>
        <v/>
      </c>
      <c r="AF63" s="279" t="str">
        <f t="shared" si="42"/>
        <v/>
      </c>
      <c r="AG63" s="279" t="str">
        <f t="shared" si="42"/>
        <v/>
      </c>
      <c r="AH63" s="279" t="str">
        <f t="shared" si="42"/>
        <v/>
      </c>
      <c r="AI63" s="279" t="str">
        <f t="shared" si="42"/>
        <v/>
      </c>
      <c r="AJ63" s="279" t="str">
        <f t="shared" si="42"/>
        <v/>
      </c>
      <c r="AK63" s="279" t="str">
        <f t="shared" si="42"/>
        <v/>
      </c>
      <c r="AL63" s="279" t="str">
        <f t="shared" si="42"/>
        <v/>
      </c>
      <c r="AM63" s="280" t="str">
        <f>ROUND(AM49,2)&amp;" TRP"</f>
        <v>0 TRP</v>
      </c>
      <c r="AN63" s="272"/>
    </row>
    <row r="64" spans="2:41" ht="12.75" hidden="1" customHeight="1" x14ac:dyDescent="0.2">
      <c r="B64" s="256"/>
      <c r="C64" s="257"/>
      <c r="D64" s="250"/>
      <c r="E64" s="250"/>
      <c r="F64" s="584"/>
      <c r="G64" s="278" t="str">
        <f t="shared" si="34"/>
        <v>Langzeitkonto</v>
      </c>
      <c r="H64" s="279" t="str">
        <f>IF(OR(H50="",H50=0),"",ROUND(H50,2)&amp;" LZK")</f>
        <v/>
      </c>
      <c r="I64" s="279" t="str">
        <f t="shared" ref="I64:AL64" si="43">IF(OR(I50="",I50=0),"",ROUND(I50,2)&amp;" LZK")</f>
        <v/>
      </c>
      <c r="J64" s="279" t="str">
        <f t="shared" si="43"/>
        <v/>
      </c>
      <c r="K64" s="279" t="str">
        <f t="shared" si="43"/>
        <v/>
      </c>
      <c r="L64" s="279" t="str">
        <f t="shared" si="43"/>
        <v/>
      </c>
      <c r="M64" s="279" t="str">
        <f t="shared" si="43"/>
        <v/>
      </c>
      <c r="N64" s="279" t="str">
        <f t="shared" si="43"/>
        <v/>
      </c>
      <c r="O64" s="279" t="str">
        <f t="shared" si="43"/>
        <v/>
      </c>
      <c r="P64" s="279" t="str">
        <f t="shared" si="43"/>
        <v/>
      </c>
      <c r="Q64" s="279" t="str">
        <f t="shared" si="43"/>
        <v/>
      </c>
      <c r="R64" s="279" t="str">
        <f t="shared" si="43"/>
        <v/>
      </c>
      <c r="S64" s="279" t="str">
        <f t="shared" si="43"/>
        <v/>
      </c>
      <c r="T64" s="279" t="str">
        <f t="shared" si="43"/>
        <v/>
      </c>
      <c r="U64" s="279" t="str">
        <f t="shared" si="43"/>
        <v/>
      </c>
      <c r="V64" s="279" t="str">
        <f t="shared" si="43"/>
        <v/>
      </c>
      <c r="W64" s="279" t="str">
        <f t="shared" si="43"/>
        <v/>
      </c>
      <c r="X64" s="279" t="str">
        <f t="shared" si="43"/>
        <v/>
      </c>
      <c r="Y64" s="279" t="str">
        <f t="shared" si="43"/>
        <v/>
      </c>
      <c r="Z64" s="279" t="str">
        <f t="shared" si="43"/>
        <v/>
      </c>
      <c r="AA64" s="279" t="str">
        <f t="shared" si="43"/>
        <v/>
      </c>
      <c r="AB64" s="279" t="str">
        <f t="shared" si="43"/>
        <v/>
      </c>
      <c r="AC64" s="279" t="str">
        <f t="shared" si="43"/>
        <v/>
      </c>
      <c r="AD64" s="279" t="str">
        <f t="shared" si="43"/>
        <v/>
      </c>
      <c r="AE64" s="279" t="str">
        <f t="shared" si="43"/>
        <v/>
      </c>
      <c r="AF64" s="279" t="str">
        <f t="shared" si="43"/>
        <v/>
      </c>
      <c r="AG64" s="279" t="str">
        <f t="shared" si="43"/>
        <v/>
      </c>
      <c r="AH64" s="279" t="str">
        <f t="shared" si="43"/>
        <v/>
      </c>
      <c r="AI64" s="279" t="str">
        <f t="shared" si="43"/>
        <v/>
      </c>
      <c r="AJ64" s="279" t="str">
        <f t="shared" si="43"/>
        <v/>
      </c>
      <c r="AK64" s="279" t="str">
        <f t="shared" si="43"/>
        <v/>
      </c>
      <c r="AL64" s="279" t="str">
        <f t="shared" si="43"/>
        <v/>
      </c>
      <c r="AM64" s="280" t="str">
        <f>ROUND(AM50,2)&amp;" LZK"</f>
        <v>0 LZK</v>
      </c>
      <c r="AN64" s="272"/>
    </row>
    <row r="65" spans="2:40" ht="3.75" hidden="1" customHeight="1" x14ac:dyDescent="0.2">
      <c r="B65" s="256"/>
      <c r="C65" s="257"/>
      <c r="D65" s="250"/>
      <c r="E65" s="250"/>
      <c r="F65" s="584"/>
      <c r="G65" s="278"/>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80"/>
      <c r="AN65" s="272"/>
    </row>
    <row r="66" spans="2:40" ht="12.75" hidden="1" customHeight="1" x14ac:dyDescent="0.2">
      <c r="B66" s="256"/>
      <c r="C66" s="257"/>
      <c r="D66" s="250"/>
      <c r="E66" s="250"/>
      <c r="F66" s="584"/>
      <c r="G66" s="278" t="str">
        <f>G53</f>
        <v>Total Frei-/Teilzeit</v>
      </c>
      <c r="H66" s="279" t="str">
        <f>IF(OR(H53="",H53=0),"",ROUND(H53,2)&amp;" TZ/FR")</f>
        <v>8,4 TZ/FR</v>
      </c>
      <c r="I66" s="279" t="str">
        <f t="shared" ref="I66:AL66" si="44">IF(OR(I53="",I53=0),"",ROUND(I53,2)&amp;" TZ/FR")</f>
        <v>8,4 TZ/FR</v>
      </c>
      <c r="J66" s="279" t="str">
        <f t="shared" si="44"/>
        <v>8,4 TZ/FR</v>
      </c>
      <c r="K66" s="279" t="str">
        <f t="shared" si="44"/>
        <v/>
      </c>
      <c r="L66" s="279" t="str">
        <f t="shared" si="44"/>
        <v>8,4 TZ/FR</v>
      </c>
      <c r="M66" s="279" t="str">
        <f t="shared" si="44"/>
        <v>8,4 TZ/FR</v>
      </c>
      <c r="N66" s="279" t="str">
        <f t="shared" si="44"/>
        <v>8,4 TZ/FR</v>
      </c>
      <c r="O66" s="279" t="str">
        <f t="shared" si="44"/>
        <v>8,4 TZ/FR</v>
      </c>
      <c r="P66" s="279" t="str">
        <f t="shared" si="44"/>
        <v>8,4 TZ/FR</v>
      </c>
      <c r="Q66" s="279" t="str">
        <f t="shared" si="44"/>
        <v>8,4 TZ/FR</v>
      </c>
      <c r="R66" s="279" t="str">
        <f t="shared" si="44"/>
        <v/>
      </c>
      <c r="S66" s="279" t="str">
        <f t="shared" si="44"/>
        <v>8,4 TZ/FR</v>
      </c>
      <c r="T66" s="279" t="str">
        <f t="shared" si="44"/>
        <v>8,4 TZ/FR</v>
      </c>
      <c r="U66" s="279" t="str">
        <f t="shared" si="44"/>
        <v>8,4 TZ/FR</v>
      </c>
      <c r="V66" s="279" t="str">
        <f t="shared" si="44"/>
        <v>8,4 TZ/FR</v>
      </c>
      <c r="W66" s="279" t="str">
        <f t="shared" si="44"/>
        <v>8,4 TZ/FR</v>
      </c>
      <c r="X66" s="279" t="str">
        <f t="shared" si="44"/>
        <v>8,4 TZ/FR</v>
      </c>
      <c r="Y66" s="279" t="str">
        <f t="shared" si="44"/>
        <v/>
      </c>
      <c r="Z66" s="279" t="str">
        <f t="shared" si="44"/>
        <v>8,4 TZ/FR</v>
      </c>
      <c r="AA66" s="279" t="str">
        <f t="shared" si="44"/>
        <v>8,4 TZ/FR</v>
      </c>
      <c r="AB66" s="279" t="str">
        <f t="shared" si="44"/>
        <v>8,4 TZ/FR</v>
      </c>
      <c r="AC66" s="279" t="str">
        <f t="shared" si="44"/>
        <v>8,4 TZ/FR</v>
      </c>
      <c r="AD66" s="279" t="str">
        <f t="shared" si="44"/>
        <v>8,4 TZ/FR</v>
      </c>
      <c r="AE66" s="279" t="str">
        <f t="shared" si="44"/>
        <v>8,4 TZ/FR</v>
      </c>
      <c r="AF66" s="279" t="str">
        <f t="shared" si="44"/>
        <v/>
      </c>
      <c r="AG66" s="279" t="str">
        <f t="shared" si="44"/>
        <v>8,4 TZ/FR</v>
      </c>
      <c r="AH66" s="279" t="str">
        <f t="shared" si="44"/>
        <v>8,4 TZ/FR</v>
      </c>
      <c r="AI66" s="279" t="str">
        <f t="shared" si="44"/>
        <v>8,4 TZ/FR</v>
      </c>
      <c r="AJ66" s="279" t="str">
        <f t="shared" si="44"/>
        <v/>
      </c>
      <c r="AK66" s="279" t="str">
        <f t="shared" si="44"/>
        <v>8,4 TZ/FR</v>
      </c>
      <c r="AL66" s="279" t="str">
        <f t="shared" si="44"/>
        <v>8,4 TZ/FR</v>
      </c>
      <c r="AM66" s="280" t="str">
        <f>ROUND(AM52,2)&amp;" TZ/FR"</f>
        <v>176,4 TZ/FR</v>
      </c>
      <c r="AN66" s="272"/>
    </row>
    <row r="67" spans="2:40" ht="12.75" hidden="1" customHeight="1" x14ac:dyDescent="0.2">
      <c r="B67" s="256"/>
      <c r="C67" s="257"/>
      <c r="D67" s="250"/>
      <c r="E67" s="250"/>
      <c r="F67" s="584"/>
      <c r="G67" s="278" t="str">
        <f>G54</f>
        <v>Anspr. Komp.</v>
      </c>
      <c r="H67" s="279" t="str">
        <f>IF(OR(H54="",H54=0),"",ROUND(H54,2)&amp;" KOMP")</f>
        <v/>
      </c>
      <c r="I67" s="279" t="str">
        <f t="shared" ref="I67:AL67" si="45">IF(OR(I54="",I54=0),"",ROUND(I54,2)&amp;" KOMP")</f>
        <v/>
      </c>
      <c r="J67" s="279" t="str">
        <f t="shared" si="45"/>
        <v/>
      </c>
      <c r="K67" s="279" t="str">
        <f t="shared" si="45"/>
        <v/>
      </c>
      <c r="L67" s="279" t="str">
        <f t="shared" si="45"/>
        <v/>
      </c>
      <c r="M67" s="279" t="str">
        <f t="shared" si="45"/>
        <v/>
      </c>
      <c r="N67" s="279" t="str">
        <f t="shared" si="45"/>
        <v/>
      </c>
      <c r="O67" s="279" t="str">
        <f t="shared" si="45"/>
        <v/>
      </c>
      <c r="P67" s="279" t="str">
        <f t="shared" si="45"/>
        <v/>
      </c>
      <c r="Q67" s="279" t="str">
        <f t="shared" si="45"/>
        <v/>
      </c>
      <c r="R67" s="279" t="str">
        <f t="shared" si="45"/>
        <v/>
      </c>
      <c r="S67" s="279" t="str">
        <f t="shared" si="45"/>
        <v/>
      </c>
      <c r="T67" s="279" t="str">
        <f t="shared" si="45"/>
        <v/>
      </c>
      <c r="U67" s="279" t="str">
        <f t="shared" si="45"/>
        <v/>
      </c>
      <c r="V67" s="279" t="str">
        <f t="shared" si="45"/>
        <v/>
      </c>
      <c r="W67" s="279" t="str">
        <f t="shared" si="45"/>
        <v/>
      </c>
      <c r="X67" s="279" t="str">
        <f t="shared" si="45"/>
        <v/>
      </c>
      <c r="Y67" s="279" t="str">
        <f t="shared" si="45"/>
        <v/>
      </c>
      <c r="Z67" s="279" t="str">
        <f t="shared" si="45"/>
        <v/>
      </c>
      <c r="AA67" s="279" t="str">
        <f t="shared" si="45"/>
        <v/>
      </c>
      <c r="AB67" s="279" t="str">
        <f t="shared" si="45"/>
        <v/>
      </c>
      <c r="AC67" s="279" t="str">
        <f t="shared" si="45"/>
        <v/>
      </c>
      <c r="AD67" s="279" t="str">
        <f t="shared" si="45"/>
        <v/>
      </c>
      <c r="AE67" s="279" t="str">
        <f t="shared" si="45"/>
        <v/>
      </c>
      <c r="AF67" s="279" t="str">
        <f t="shared" si="45"/>
        <v/>
      </c>
      <c r="AG67" s="279" t="str">
        <f t="shared" si="45"/>
        <v/>
      </c>
      <c r="AH67" s="279" t="str">
        <f t="shared" si="45"/>
        <v/>
      </c>
      <c r="AI67" s="279" t="str">
        <f t="shared" si="45"/>
        <v/>
      </c>
      <c r="AJ67" s="279" t="str">
        <f t="shared" si="45"/>
        <v/>
      </c>
      <c r="AK67" s="279" t="str">
        <f t="shared" si="45"/>
        <v/>
      </c>
      <c r="AL67" s="279" t="str">
        <f t="shared" si="45"/>
        <v/>
      </c>
      <c r="AM67" s="280"/>
      <c r="AN67" s="272"/>
    </row>
    <row r="68" spans="2:40" ht="12.75" hidden="1" customHeight="1" x14ac:dyDescent="0.2">
      <c r="B68" s="256"/>
      <c r="C68" s="257"/>
      <c r="D68" s="250"/>
      <c r="E68" s="250"/>
      <c r="F68" s="584"/>
      <c r="G68" s="278" t="str">
        <f>G55</f>
        <v>Nicht gearbeitet</v>
      </c>
      <c r="H68" s="279" t="str">
        <f>IF(OR(H55="",H55=0),"","FREI")</f>
        <v>FREI</v>
      </c>
      <c r="I68" s="279" t="str">
        <f t="shared" ref="I68:AL68" si="46">IF(OR(I55="",I55=0),"","FREI")</f>
        <v>FREI</v>
      </c>
      <c r="J68" s="279" t="str">
        <f t="shared" si="46"/>
        <v/>
      </c>
      <c r="K68" s="279" t="str">
        <f t="shared" si="46"/>
        <v/>
      </c>
      <c r="L68" s="279" t="str">
        <f t="shared" si="46"/>
        <v>FREI</v>
      </c>
      <c r="M68" s="279" t="str">
        <f t="shared" si="46"/>
        <v>FREI</v>
      </c>
      <c r="N68" s="279" t="str">
        <f t="shared" si="46"/>
        <v>FREI</v>
      </c>
      <c r="O68" s="279" t="str">
        <f t="shared" si="46"/>
        <v>FREI</v>
      </c>
      <c r="P68" s="279" t="str">
        <f t="shared" si="46"/>
        <v>FREI</v>
      </c>
      <c r="Q68" s="279" t="str">
        <f t="shared" si="46"/>
        <v/>
      </c>
      <c r="R68" s="279" t="str">
        <f t="shared" si="46"/>
        <v/>
      </c>
      <c r="S68" s="279" t="str">
        <f t="shared" si="46"/>
        <v>FREI</v>
      </c>
      <c r="T68" s="279" t="str">
        <f t="shared" si="46"/>
        <v>FREI</v>
      </c>
      <c r="U68" s="279" t="str">
        <f t="shared" si="46"/>
        <v>FREI</v>
      </c>
      <c r="V68" s="279" t="str">
        <f t="shared" si="46"/>
        <v>FREI</v>
      </c>
      <c r="W68" s="279" t="str">
        <f t="shared" si="46"/>
        <v>FREI</v>
      </c>
      <c r="X68" s="279" t="str">
        <f t="shared" si="46"/>
        <v/>
      </c>
      <c r="Y68" s="279" t="str">
        <f t="shared" si="46"/>
        <v/>
      </c>
      <c r="Z68" s="279" t="str">
        <f t="shared" si="46"/>
        <v>FREI</v>
      </c>
      <c r="AA68" s="279" t="str">
        <f t="shared" si="46"/>
        <v>FREI</v>
      </c>
      <c r="AB68" s="279" t="str">
        <f t="shared" si="46"/>
        <v>FREI</v>
      </c>
      <c r="AC68" s="279" t="str">
        <f t="shared" si="46"/>
        <v>FREI</v>
      </c>
      <c r="AD68" s="279" t="str">
        <f t="shared" si="46"/>
        <v>FREI</v>
      </c>
      <c r="AE68" s="279" t="str">
        <f t="shared" si="46"/>
        <v/>
      </c>
      <c r="AF68" s="279" t="str">
        <f t="shared" si="46"/>
        <v/>
      </c>
      <c r="AG68" s="279" t="str">
        <f t="shared" si="46"/>
        <v>FREI</v>
      </c>
      <c r="AH68" s="279" t="str">
        <f t="shared" si="46"/>
        <v>FREI</v>
      </c>
      <c r="AI68" s="279" t="str">
        <f t="shared" si="46"/>
        <v>FREI</v>
      </c>
      <c r="AJ68" s="279" t="str">
        <f t="shared" si="46"/>
        <v/>
      </c>
      <c r="AK68" s="279" t="str">
        <f t="shared" si="46"/>
        <v>FREI</v>
      </c>
      <c r="AL68" s="279" t="str">
        <f t="shared" si="46"/>
        <v/>
      </c>
      <c r="AM68" s="280"/>
      <c r="AN68" s="272"/>
    </row>
    <row r="69" spans="2:40" ht="12.75" hidden="1" customHeight="1" x14ac:dyDescent="0.2">
      <c r="B69" s="256"/>
      <c r="C69" s="257"/>
      <c r="D69" s="250"/>
      <c r="E69" s="250"/>
      <c r="F69" s="281"/>
      <c r="G69" s="282" t="s">
        <v>132</v>
      </c>
      <c r="H69" s="283" t="str">
        <f t="shared" ref="H69:AL69" si="47">_xlfn.TEXTJOIN(";",TRUE,H56,H57,H58,H59,H60,H61,H62,H63,H64,H68)</f>
        <v>FREI</v>
      </c>
      <c r="I69" s="283" t="str">
        <f t="shared" si="47"/>
        <v>FREI</v>
      </c>
      <c r="J69" s="283" t="str">
        <f t="shared" si="47"/>
        <v/>
      </c>
      <c r="K69" s="283" t="str">
        <f t="shared" si="47"/>
        <v/>
      </c>
      <c r="L69" s="283" t="str">
        <f>_xlfn.TEXTJOIN(";",TRUE,L56,L57,L58,L59,L60,L61,L62,L63,L64,L68)</f>
        <v>FREI</v>
      </c>
      <c r="M69" s="283" t="str">
        <f t="shared" si="47"/>
        <v>FREI</v>
      </c>
      <c r="N69" s="283" t="str">
        <f t="shared" si="47"/>
        <v>FREI</v>
      </c>
      <c r="O69" s="283" t="str">
        <f t="shared" si="47"/>
        <v>FREI</v>
      </c>
      <c r="P69" s="283" t="str">
        <f t="shared" si="47"/>
        <v>FREI</v>
      </c>
      <c r="Q69" s="283" t="str">
        <f t="shared" si="47"/>
        <v/>
      </c>
      <c r="R69" s="283" t="str">
        <f t="shared" si="47"/>
        <v/>
      </c>
      <c r="S69" s="283" t="str">
        <f t="shared" si="47"/>
        <v>FREI</v>
      </c>
      <c r="T69" s="283" t="str">
        <f t="shared" si="47"/>
        <v>FREI</v>
      </c>
      <c r="U69" s="283" t="str">
        <f t="shared" si="47"/>
        <v>FREI</v>
      </c>
      <c r="V69" s="283" t="str">
        <f t="shared" si="47"/>
        <v>FREI</v>
      </c>
      <c r="W69" s="283" t="str">
        <f t="shared" si="47"/>
        <v>FREI</v>
      </c>
      <c r="X69" s="283" t="str">
        <f t="shared" si="47"/>
        <v/>
      </c>
      <c r="Y69" s="283" t="str">
        <f t="shared" si="47"/>
        <v/>
      </c>
      <c r="Z69" s="283" t="str">
        <f t="shared" si="47"/>
        <v>FREI</v>
      </c>
      <c r="AA69" s="283" t="str">
        <f t="shared" si="47"/>
        <v>FREI</v>
      </c>
      <c r="AB69" s="283" t="str">
        <f t="shared" si="47"/>
        <v>FREI</v>
      </c>
      <c r="AC69" s="283" t="str">
        <f t="shared" si="47"/>
        <v>FREI</v>
      </c>
      <c r="AD69" s="283" t="str">
        <f t="shared" si="47"/>
        <v>FREI</v>
      </c>
      <c r="AE69" s="283" t="str">
        <f t="shared" si="47"/>
        <v/>
      </c>
      <c r="AF69" s="283" t="str">
        <f t="shared" si="47"/>
        <v/>
      </c>
      <c r="AG69" s="283" t="str">
        <f t="shared" si="47"/>
        <v>FREI</v>
      </c>
      <c r="AH69" s="283" t="str">
        <f t="shared" si="47"/>
        <v>FREI</v>
      </c>
      <c r="AI69" s="283" t="str">
        <f t="shared" si="47"/>
        <v>FREI</v>
      </c>
      <c r="AJ69" s="283" t="str">
        <f t="shared" si="47"/>
        <v/>
      </c>
      <c r="AK69" s="283" t="str">
        <f t="shared" si="47"/>
        <v>FREI</v>
      </c>
      <c r="AL69" s="283" t="str">
        <f t="shared" si="47"/>
        <v/>
      </c>
      <c r="AM69" s="280"/>
      <c r="AN69" s="272"/>
    </row>
    <row r="70" spans="2:40" ht="12.75" hidden="1" customHeight="1" x14ac:dyDescent="0.2">
      <c r="B70" s="256"/>
      <c r="C70" s="257"/>
      <c r="D70" s="250"/>
      <c r="E70" s="250"/>
      <c r="F70" s="281"/>
      <c r="G70" s="278" t="s">
        <v>158</v>
      </c>
      <c r="H70" s="284" t="str" cm="1">
        <f t="array" ref="H70">IF(ISERROR(_xlfn.TEXTSPLIT(H69,,";",TRUE)),0,_xlfn.TEXTSPLIT(H69,,";",TRUE))</f>
        <v>FREI</v>
      </c>
      <c r="I70" s="284" t="str" cm="1">
        <f t="array" ref="I70">IF(ISERROR(_xlfn.TEXTSPLIT(I69,,";",TRUE)),0,_xlfn.TEXTSPLIT(I69,,";",TRUE))</f>
        <v>FREI</v>
      </c>
      <c r="J70" s="284" cm="1">
        <f t="array" ref="J70">IF(ISERROR(_xlfn.TEXTSPLIT(J69,,";",TRUE)),0,_xlfn.TEXTSPLIT(J69,,";",TRUE))</f>
        <v>0</v>
      </c>
      <c r="K70" s="284" cm="1">
        <f t="array" ref="K70">IF(ISERROR(_xlfn.TEXTSPLIT(K69,,";",TRUE)),0,_xlfn.TEXTSPLIT(K69,,";",TRUE))</f>
        <v>0</v>
      </c>
      <c r="L70" s="284" t="str" cm="1">
        <f t="array" ref="L70">IF(ISERROR(_xlfn.TEXTSPLIT(L69,,";",TRUE)),0,_xlfn.TEXTSPLIT(L69,,";",TRUE))</f>
        <v>FREI</v>
      </c>
      <c r="M70" s="284" t="str" cm="1">
        <f t="array" ref="M70">IF(ISERROR(_xlfn.TEXTSPLIT(M69,,";",TRUE)),0,_xlfn.TEXTSPLIT(M69,,";",TRUE))</f>
        <v>FREI</v>
      </c>
      <c r="N70" s="284" t="str" cm="1">
        <f t="array" ref="N70">IF(ISERROR(_xlfn.TEXTSPLIT(N69,,";",TRUE)),0,_xlfn.TEXTSPLIT(N69,,";",TRUE))</f>
        <v>FREI</v>
      </c>
      <c r="O70" s="284" t="str" cm="1">
        <f t="array" ref="O70">IF(ISERROR(_xlfn.TEXTSPLIT(O69,,";",TRUE)),0,_xlfn.TEXTSPLIT(O69,,";",TRUE))</f>
        <v>FREI</v>
      </c>
      <c r="P70" s="284" t="str" cm="1">
        <f t="array" ref="P70">IF(ISERROR(_xlfn.TEXTSPLIT(P69,,";",TRUE)),0,_xlfn.TEXTSPLIT(P69,,";",TRUE))</f>
        <v>FREI</v>
      </c>
      <c r="Q70" s="284" cm="1">
        <f t="array" ref="Q70">IF(ISERROR(_xlfn.TEXTSPLIT(Q69,,";",TRUE)),0,_xlfn.TEXTSPLIT(Q69,,";",TRUE))</f>
        <v>0</v>
      </c>
      <c r="R70" s="284" cm="1">
        <f t="array" ref="R70">IF(ISERROR(_xlfn.TEXTSPLIT(R69,,";",TRUE)),0,_xlfn.TEXTSPLIT(R69,,";",TRUE))</f>
        <v>0</v>
      </c>
      <c r="S70" s="284" t="str" cm="1">
        <f t="array" ref="S70">IF(ISERROR(_xlfn.TEXTSPLIT(S69,,";",TRUE)),0,_xlfn.TEXTSPLIT(S69,,";",TRUE))</f>
        <v>FREI</v>
      </c>
      <c r="T70" s="284" t="str" cm="1">
        <f t="array" ref="T70">IF(ISERROR(_xlfn.TEXTSPLIT(T69,,";",TRUE)),0,_xlfn.TEXTSPLIT(T69,,";",TRUE))</f>
        <v>FREI</v>
      </c>
      <c r="U70" s="284" t="str" cm="1">
        <f t="array" ref="U70">IF(ISERROR(_xlfn.TEXTSPLIT(U69,,";",TRUE)),0,_xlfn.TEXTSPLIT(U69,,";",TRUE))</f>
        <v>FREI</v>
      </c>
      <c r="V70" s="284" t="str" cm="1">
        <f t="array" ref="V70">IF(ISERROR(_xlfn.TEXTSPLIT(V69,,";",TRUE)),0,_xlfn.TEXTSPLIT(V69,,";",TRUE))</f>
        <v>FREI</v>
      </c>
      <c r="W70" s="284" t="str" cm="1">
        <f t="array" ref="W70">IF(ISERROR(_xlfn.TEXTSPLIT(W69,,";",TRUE)),0,_xlfn.TEXTSPLIT(W69,,";",TRUE))</f>
        <v>FREI</v>
      </c>
      <c r="X70" s="284" cm="1">
        <f t="array" ref="X70">IF(ISERROR(_xlfn.TEXTSPLIT(X69,,";",TRUE)),0,_xlfn.TEXTSPLIT(X69,,";",TRUE))</f>
        <v>0</v>
      </c>
      <c r="Y70" s="284" cm="1">
        <f t="array" ref="Y70">IF(ISERROR(_xlfn.TEXTSPLIT(Y69,,";",TRUE)),0,_xlfn.TEXTSPLIT(Y69,,";",TRUE))</f>
        <v>0</v>
      </c>
      <c r="Z70" s="284" t="str" cm="1">
        <f t="array" ref="Z70">IF(ISERROR(_xlfn.TEXTSPLIT(Z69,,";",TRUE)),0,_xlfn.TEXTSPLIT(Z69,,";",TRUE))</f>
        <v>FREI</v>
      </c>
      <c r="AA70" s="284" t="str" cm="1">
        <f t="array" ref="AA70">IF(ISERROR(_xlfn.TEXTSPLIT(AA69,,";",TRUE)),0,_xlfn.TEXTSPLIT(AA69,,";",TRUE))</f>
        <v>FREI</v>
      </c>
      <c r="AB70" s="284" t="str" cm="1">
        <f t="array" ref="AB70">IF(ISERROR(_xlfn.TEXTSPLIT(AB69,,";",TRUE)),0,_xlfn.TEXTSPLIT(AB69,,";",TRUE))</f>
        <v>FREI</v>
      </c>
      <c r="AC70" s="284" t="str" cm="1">
        <f t="array" ref="AC70">IF(ISERROR(_xlfn.TEXTSPLIT(AC69,,";",TRUE)),0,_xlfn.TEXTSPLIT(AC69,,";",TRUE))</f>
        <v>FREI</v>
      </c>
      <c r="AD70" s="284" t="str" cm="1">
        <f t="array" ref="AD70">IF(ISERROR(_xlfn.TEXTSPLIT(AD69,,";",TRUE)),0,_xlfn.TEXTSPLIT(AD69,,";",TRUE))</f>
        <v>FREI</v>
      </c>
      <c r="AE70" s="284" cm="1">
        <f t="array" ref="AE70">IF(ISERROR(_xlfn.TEXTSPLIT(AE69,,";",TRUE)),0,_xlfn.TEXTSPLIT(AE69,,";",TRUE))</f>
        <v>0</v>
      </c>
      <c r="AF70" s="284" cm="1">
        <f t="array" ref="AF70">IF(ISERROR(_xlfn.TEXTSPLIT(AF69,,";",TRUE)),0,_xlfn.TEXTSPLIT(AF69,,";",TRUE))</f>
        <v>0</v>
      </c>
      <c r="AG70" s="284" t="str" cm="1">
        <f t="array" ref="AG70">IF(ISERROR(_xlfn.TEXTSPLIT(AG69,,";",TRUE)),0,_xlfn.TEXTSPLIT(AG69,,";",TRUE))</f>
        <v>FREI</v>
      </c>
      <c r="AH70" s="284" t="str" cm="1">
        <f t="array" ref="AH70">IF(ISERROR(_xlfn.TEXTSPLIT(AH69,,";",TRUE)),0,_xlfn.TEXTSPLIT(AH69,,";",TRUE))</f>
        <v>FREI</v>
      </c>
      <c r="AI70" s="284" t="str" cm="1">
        <f t="array" ref="AI70">IF(ISERROR(_xlfn.TEXTSPLIT(AI69,,";",TRUE)),0,_xlfn.TEXTSPLIT(AI69,,";",TRUE))</f>
        <v>FREI</v>
      </c>
      <c r="AJ70" s="284" cm="1">
        <f t="array" ref="AJ70">IF(ISERROR(_xlfn.TEXTSPLIT(AJ69,,";",TRUE)),0,_xlfn.TEXTSPLIT(AJ69,,";",TRUE))</f>
        <v>0</v>
      </c>
      <c r="AK70" s="284" t="str" cm="1">
        <f t="array" ref="AK70">IF(ISERROR(_xlfn.TEXTSPLIT(AK69,,";",TRUE)),0,_xlfn.TEXTSPLIT(AK69,,";",TRUE))</f>
        <v>FREI</v>
      </c>
      <c r="AL70" s="284" cm="1">
        <f t="array" ref="AL70">IF(ISERROR(_xlfn.TEXTSPLIT(AL69,,";",TRUE)),0,_xlfn.TEXTSPLIT(AL69,,";",TRUE))</f>
        <v>0</v>
      </c>
      <c r="AM70" s="280"/>
      <c r="AN70" s="272"/>
    </row>
    <row r="71" spans="2:40" ht="12.75" hidden="1" customHeight="1" x14ac:dyDescent="0.2">
      <c r="B71" s="256"/>
      <c r="C71" s="257"/>
      <c r="D71" s="250"/>
      <c r="E71" s="250"/>
      <c r="F71" s="281"/>
      <c r="G71" s="278" t="s">
        <v>159</v>
      </c>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0"/>
      <c r="AN71" s="272"/>
    </row>
    <row r="72" spans="2:40" ht="12.75" hidden="1" customHeight="1" x14ac:dyDescent="0.2">
      <c r="B72" s="256"/>
      <c r="C72" s="257"/>
      <c r="D72" s="250"/>
      <c r="E72" s="250"/>
      <c r="F72" s="285"/>
      <c r="G72" s="278" t="s">
        <v>197</v>
      </c>
      <c r="H72" s="284" t="str">
        <f>IF(OR(H54="",H54=0),"","!")</f>
        <v/>
      </c>
      <c r="I72" s="284" t="str">
        <f t="shared" ref="I72:AL72" si="48">IF(OR(I54="",I54=0),"","!")</f>
        <v/>
      </c>
      <c r="J72" s="284" t="str">
        <f t="shared" si="48"/>
        <v/>
      </c>
      <c r="K72" s="284" t="str">
        <f t="shared" si="48"/>
        <v/>
      </c>
      <c r="L72" s="284" t="str">
        <f t="shared" si="48"/>
        <v/>
      </c>
      <c r="M72" s="284" t="str">
        <f t="shared" si="48"/>
        <v/>
      </c>
      <c r="N72" s="284" t="str">
        <f t="shared" si="48"/>
        <v/>
      </c>
      <c r="O72" s="284" t="str">
        <f t="shared" si="48"/>
        <v/>
      </c>
      <c r="P72" s="284" t="str">
        <f t="shared" si="48"/>
        <v/>
      </c>
      <c r="Q72" s="284" t="str">
        <f t="shared" si="48"/>
        <v/>
      </c>
      <c r="R72" s="284" t="str">
        <f t="shared" si="48"/>
        <v/>
      </c>
      <c r="S72" s="284" t="str">
        <f t="shared" si="48"/>
        <v/>
      </c>
      <c r="T72" s="284" t="str">
        <f t="shared" si="48"/>
        <v/>
      </c>
      <c r="U72" s="284" t="str">
        <f t="shared" si="48"/>
        <v/>
      </c>
      <c r="V72" s="284" t="str">
        <f t="shared" si="48"/>
        <v/>
      </c>
      <c r="W72" s="284" t="str">
        <f t="shared" si="48"/>
        <v/>
      </c>
      <c r="X72" s="284" t="str">
        <f t="shared" si="48"/>
        <v/>
      </c>
      <c r="Y72" s="284" t="str">
        <f t="shared" si="48"/>
        <v/>
      </c>
      <c r="Z72" s="284" t="str">
        <f t="shared" si="48"/>
        <v/>
      </c>
      <c r="AA72" s="284" t="str">
        <f t="shared" si="48"/>
        <v/>
      </c>
      <c r="AB72" s="284" t="str">
        <f t="shared" si="48"/>
        <v/>
      </c>
      <c r="AC72" s="284" t="str">
        <f t="shared" si="48"/>
        <v/>
      </c>
      <c r="AD72" s="284" t="str">
        <f t="shared" si="48"/>
        <v/>
      </c>
      <c r="AE72" s="284" t="str">
        <f t="shared" si="48"/>
        <v/>
      </c>
      <c r="AF72" s="284" t="str">
        <f t="shared" si="48"/>
        <v/>
      </c>
      <c r="AG72" s="284" t="str">
        <f t="shared" si="48"/>
        <v/>
      </c>
      <c r="AH72" s="284" t="str">
        <f t="shared" si="48"/>
        <v/>
      </c>
      <c r="AI72" s="284" t="str">
        <f t="shared" si="48"/>
        <v/>
      </c>
      <c r="AJ72" s="284" t="str">
        <f t="shared" si="48"/>
        <v/>
      </c>
      <c r="AK72" s="284" t="str">
        <f t="shared" si="48"/>
        <v/>
      </c>
      <c r="AL72" s="284" t="str">
        <f t="shared" si="48"/>
        <v/>
      </c>
      <c r="AM72" s="280"/>
      <c r="AN72" s="272"/>
    </row>
    <row r="73" spans="2:40" ht="2.1" customHeight="1" x14ac:dyDescent="0.2">
      <c r="B73" s="166"/>
      <c r="C73" s="11"/>
      <c r="D73" s="250"/>
      <c r="E73" s="250"/>
      <c r="F73" s="251"/>
      <c r="G73" s="252"/>
      <c r="H73" s="286"/>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95" t="s">
        <v>123</v>
      </c>
    </row>
    <row r="74" spans="2:40" ht="12.75" customHeight="1" x14ac:dyDescent="0.2">
      <c r="B74" s="250"/>
      <c r="C74" s="11"/>
      <c r="D74" s="166"/>
      <c r="E74" s="166"/>
      <c r="F74" s="573" t="s">
        <v>63</v>
      </c>
      <c r="G74" s="203" t="s">
        <v>27</v>
      </c>
      <c r="H74" s="288">
        <f>C17+H26-H14</f>
        <v>-557.76000000000113</v>
      </c>
      <c r="I74" s="289">
        <f t="shared" ref="I74:AL74" si="49">H74+I26-I14</f>
        <v>-564.48000000000116</v>
      </c>
      <c r="J74" s="289">
        <f t="shared" si="49"/>
        <v>-564.48000000000116</v>
      </c>
      <c r="K74" s="289">
        <f t="shared" si="49"/>
        <v>-564.48000000000116</v>
      </c>
      <c r="L74" s="289">
        <f t="shared" si="49"/>
        <v>-571.20000000000118</v>
      </c>
      <c r="M74" s="289">
        <f t="shared" si="49"/>
        <v>-577.92000000000121</v>
      </c>
      <c r="N74" s="289">
        <f t="shared" si="49"/>
        <v>-584.64000000000124</v>
      </c>
      <c r="O74" s="289">
        <f t="shared" si="49"/>
        <v>-591.36000000000126</v>
      </c>
      <c r="P74" s="289">
        <f t="shared" si="49"/>
        <v>-598.08000000000129</v>
      </c>
      <c r="Q74" s="289">
        <f t="shared" si="49"/>
        <v>-598.08000000000129</v>
      </c>
      <c r="R74" s="289">
        <f t="shared" si="49"/>
        <v>-598.08000000000129</v>
      </c>
      <c r="S74" s="289">
        <f t="shared" si="49"/>
        <v>-604.80000000000132</v>
      </c>
      <c r="T74" s="289">
        <f t="shared" si="49"/>
        <v>-611.52000000000135</v>
      </c>
      <c r="U74" s="289">
        <f t="shared" si="49"/>
        <v>-618.24000000000137</v>
      </c>
      <c r="V74" s="289">
        <f t="shared" si="49"/>
        <v>-624.9600000000014</v>
      </c>
      <c r="W74" s="289">
        <f t="shared" si="49"/>
        <v>-631.68000000000143</v>
      </c>
      <c r="X74" s="289">
        <f t="shared" si="49"/>
        <v>-631.68000000000143</v>
      </c>
      <c r="Y74" s="289">
        <f t="shared" si="49"/>
        <v>-631.68000000000143</v>
      </c>
      <c r="Z74" s="289">
        <f t="shared" si="49"/>
        <v>-638.40000000000146</v>
      </c>
      <c r="AA74" s="289">
        <f t="shared" si="49"/>
        <v>-645.12000000000148</v>
      </c>
      <c r="AB74" s="289">
        <f t="shared" si="49"/>
        <v>-651.84000000000151</v>
      </c>
      <c r="AC74" s="289">
        <f t="shared" si="49"/>
        <v>-658.56000000000154</v>
      </c>
      <c r="AD74" s="289">
        <f t="shared" si="49"/>
        <v>-665.28000000000156</v>
      </c>
      <c r="AE74" s="289">
        <f t="shared" si="49"/>
        <v>-665.28000000000156</v>
      </c>
      <c r="AF74" s="289">
        <f t="shared" si="49"/>
        <v>-665.28000000000156</v>
      </c>
      <c r="AG74" s="289">
        <f t="shared" si="49"/>
        <v>-672.00000000000159</v>
      </c>
      <c r="AH74" s="289">
        <f t="shared" si="49"/>
        <v>-678.72000000000162</v>
      </c>
      <c r="AI74" s="289">
        <f t="shared" si="49"/>
        <v>-685.44000000000165</v>
      </c>
      <c r="AJ74" s="289">
        <f t="shared" si="49"/>
        <v>-685.44000000000165</v>
      </c>
      <c r="AK74" s="289">
        <f t="shared" si="49"/>
        <v>-692.16000000000167</v>
      </c>
      <c r="AL74" s="289">
        <f t="shared" si="49"/>
        <v>-692.16000000000167</v>
      </c>
      <c r="AM74" s="290">
        <f>AL74</f>
        <v>-692.16000000000167</v>
      </c>
    </row>
    <row r="75" spans="2:40" ht="12.75" customHeight="1" x14ac:dyDescent="0.2">
      <c r="B75" s="250"/>
      <c r="C75" s="11"/>
      <c r="D75" s="250"/>
      <c r="E75" s="250"/>
      <c r="F75" s="574"/>
      <c r="G75" s="203" t="s">
        <v>71</v>
      </c>
      <c r="H75" s="291">
        <f>H74/TaginSt</f>
        <v>-66.400000000000134</v>
      </c>
      <c r="I75" s="247">
        <f t="shared" ref="I75:AL75" si="50">I74/TaginSt</f>
        <v>-67.200000000000131</v>
      </c>
      <c r="J75" s="247">
        <f t="shared" si="50"/>
        <v>-67.200000000000131</v>
      </c>
      <c r="K75" s="247">
        <f t="shared" si="50"/>
        <v>-67.200000000000131</v>
      </c>
      <c r="L75" s="247">
        <f t="shared" si="50"/>
        <v>-68.000000000000142</v>
      </c>
      <c r="M75" s="247">
        <f t="shared" si="50"/>
        <v>-68.800000000000139</v>
      </c>
      <c r="N75" s="247">
        <f t="shared" si="50"/>
        <v>-69.600000000000151</v>
      </c>
      <c r="O75" s="247">
        <f t="shared" si="50"/>
        <v>-70.400000000000148</v>
      </c>
      <c r="P75" s="247">
        <f t="shared" si="50"/>
        <v>-71.200000000000145</v>
      </c>
      <c r="Q75" s="247">
        <f t="shared" si="50"/>
        <v>-71.200000000000145</v>
      </c>
      <c r="R75" s="247">
        <f t="shared" si="50"/>
        <v>-71.200000000000145</v>
      </c>
      <c r="S75" s="247">
        <f t="shared" si="50"/>
        <v>-72.000000000000156</v>
      </c>
      <c r="T75" s="247">
        <f t="shared" si="50"/>
        <v>-72.800000000000153</v>
      </c>
      <c r="U75" s="247">
        <f t="shared" si="50"/>
        <v>-73.600000000000165</v>
      </c>
      <c r="V75" s="247">
        <f t="shared" si="50"/>
        <v>-74.400000000000162</v>
      </c>
      <c r="W75" s="247">
        <f t="shared" si="50"/>
        <v>-75.200000000000173</v>
      </c>
      <c r="X75" s="247">
        <f t="shared" si="50"/>
        <v>-75.200000000000173</v>
      </c>
      <c r="Y75" s="247">
        <f t="shared" si="50"/>
        <v>-75.200000000000173</v>
      </c>
      <c r="Z75" s="247">
        <f t="shared" si="50"/>
        <v>-76.000000000000171</v>
      </c>
      <c r="AA75" s="247">
        <f t="shared" si="50"/>
        <v>-76.800000000000168</v>
      </c>
      <c r="AB75" s="247">
        <f t="shared" si="50"/>
        <v>-77.600000000000179</v>
      </c>
      <c r="AC75" s="247">
        <f t="shared" si="50"/>
        <v>-78.400000000000176</v>
      </c>
      <c r="AD75" s="247">
        <f t="shared" si="50"/>
        <v>-79.200000000000188</v>
      </c>
      <c r="AE75" s="247">
        <f t="shared" si="50"/>
        <v>-79.200000000000188</v>
      </c>
      <c r="AF75" s="247">
        <f t="shared" si="50"/>
        <v>-79.200000000000188</v>
      </c>
      <c r="AG75" s="247">
        <f t="shared" si="50"/>
        <v>-80.000000000000185</v>
      </c>
      <c r="AH75" s="247">
        <f t="shared" si="50"/>
        <v>-80.800000000000196</v>
      </c>
      <c r="AI75" s="247">
        <f t="shared" si="50"/>
        <v>-81.600000000000193</v>
      </c>
      <c r="AJ75" s="247">
        <f t="shared" si="50"/>
        <v>-81.600000000000193</v>
      </c>
      <c r="AK75" s="247">
        <f t="shared" si="50"/>
        <v>-82.40000000000019</v>
      </c>
      <c r="AL75" s="247">
        <f t="shared" si="50"/>
        <v>-82.40000000000019</v>
      </c>
      <c r="AM75" s="292">
        <f>AL75</f>
        <v>-82.40000000000019</v>
      </c>
    </row>
    <row r="76" spans="2:40" ht="2.1" customHeight="1" x14ac:dyDescent="0.2">
      <c r="B76" s="166"/>
      <c r="C76" s="166"/>
      <c r="D76" s="166"/>
      <c r="E76" s="166"/>
      <c r="F76" s="251"/>
      <c r="G76" s="252"/>
      <c r="H76" s="253"/>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row>
    <row r="77" spans="2:40" ht="31.5" customHeight="1" x14ac:dyDescent="0.2">
      <c r="B77" s="166"/>
      <c r="D77" s="166"/>
      <c r="E77" s="166"/>
      <c r="F77" s="293" t="s">
        <v>60</v>
      </c>
      <c r="G77" s="294"/>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t="s">
        <v>85</v>
      </c>
      <c r="AK77" s="5"/>
      <c r="AL77" s="5"/>
      <c r="AM77" s="296"/>
    </row>
    <row r="78" spans="2:40" ht="2.1" customHeight="1" x14ac:dyDescent="0.2">
      <c r="B78" s="166"/>
      <c r="C78" s="166"/>
      <c r="D78" s="166"/>
      <c r="E78" s="166"/>
      <c r="F78" s="553"/>
      <c r="G78" s="555"/>
      <c r="H78" s="253"/>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row>
    <row r="79" spans="2:40" ht="12.75" customHeight="1" x14ac:dyDescent="0.2">
      <c r="B79" s="166"/>
      <c r="C79" s="166"/>
      <c r="D79" s="577" t="s">
        <v>79</v>
      </c>
      <c r="E79" s="578"/>
      <c r="F79" s="558" t="str">
        <f>IF(ISBLANK(Arbeitsber.!B5),"",Arbeitsber.!B5)</f>
        <v xml:space="preserve">GD, Kasualien </v>
      </c>
      <c r="G79" s="559"/>
      <c r="H79" s="158"/>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298">
        <f t="shared" ref="AM79:AM90" si="51">SUM(H79:AL79)</f>
        <v>0</v>
      </c>
    </row>
    <row r="80" spans="2:40" ht="12.75" customHeight="1" x14ac:dyDescent="0.2">
      <c r="B80" s="166"/>
      <c r="C80" s="166"/>
      <c r="D80" s="579"/>
      <c r="E80" s="580"/>
      <c r="F80" s="558" t="str">
        <f>IF(ISBLANK(Arbeitsber.!B6),"",Arbeitsber.!B6)</f>
        <v>KUW</v>
      </c>
      <c r="G80" s="559"/>
      <c r="H80" s="158"/>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298">
        <f t="shared" si="51"/>
        <v>0</v>
      </c>
    </row>
    <row r="81" spans="2:39" ht="12.75" customHeight="1" x14ac:dyDescent="0.2">
      <c r="B81" s="11"/>
      <c r="D81" s="579"/>
      <c r="E81" s="580"/>
      <c r="F81" s="558" t="str">
        <f>IF(ISBLANK(Arbeitsber.!B7),"",Arbeitsber.!B7)</f>
        <v>Seelsorge</v>
      </c>
      <c r="G81" s="559"/>
      <c r="H81" s="158"/>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298">
        <f t="shared" si="51"/>
        <v>0</v>
      </c>
    </row>
    <row r="82" spans="2:39" ht="12.75" customHeight="1" x14ac:dyDescent="0.2">
      <c r="B82" s="256"/>
      <c r="C82" s="299"/>
      <c r="D82" s="579"/>
      <c r="E82" s="580"/>
      <c r="F82" s="558" t="str">
        <f>IF(ISBLANK(Arbeitsber.!B8),"",Arbeitsber.!B8)</f>
        <v>Gemeindearbeit</v>
      </c>
      <c r="G82" s="559"/>
      <c r="H82" s="158"/>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298">
        <f t="shared" si="51"/>
        <v>0</v>
      </c>
    </row>
    <row r="83" spans="2:39" ht="12.75" customHeight="1" x14ac:dyDescent="0.2">
      <c r="B83" s="300"/>
      <c r="C83" s="299"/>
      <c r="D83" s="579"/>
      <c r="E83" s="580"/>
      <c r="F83" s="558" t="str">
        <f>IF(ISBLANK(Arbeitsber.!B9),"",Arbeitsber.!B9)</f>
        <v>Administration</v>
      </c>
      <c r="G83" s="559"/>
      <c r="H83" s="158"/>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298">
        <f t="shared" si="51"/>
        <v>0</v>
      </c>
    </row>
    <row r="84" spans="2:39" ht="12.75" customHeight="1" x14ac:dyDescent="0.2">
      <c r="D84" s="579"/>
      <c r="E84" s="580"/>
      <c r="F84" s="558" t="str">
        <f>IF(ISBLANK(Arbeitsber.!B10),"",Arbeitsber.!B10)</f>
        <v>Theol. Reflex.</v>
      </c>
      <c r="G84" s="559"/>
      <c r="H84" s="158"/>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298">
        <f t="shared" si="51"/>
        <v>0</v>
      </c>
    </row>
    <row r="85" spans="2:39" ht="12.75" customHeight="1" x14ac:dyDescent="0.2">
      <c r="D85" s="579"/>
      <c r="E85" s="580"/>
      <c r="F85" s="558" t="str">
        <f>IF(ISBLANK(Arbeitsber.!B11),"",Arbeitsber.!B11)</f>
        <v/>
      </c>
      <c r="G85" s="559"/>
      <c r="H85" s="158"/>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298">
        <f t="shared" si="51"/>
        <v>0</v>
      </c>
    </row>
    <row r="86" spans="2:39" ht="12.75" customHeight="1" x14ac:dyDescent="0.2">
      <c r="D86" s="579"/>
      <c r="E86" s="580"/>
      <c r="F86" s="558" t="str">
        <f>IF(ISBLANK(Arbeitsber.!B12),"",Arbeitsber.!B12)</f>
        <v/>
      </c>
      <c r="G86" s="559"/>
      <c r="H86" s="158"/>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298">
        <f t="shared" si="51"/>
        <v>0</v>
      </c>
    </row>
    <row r="87" spans="2:39" ht="12.75" customHeight="1" x14ac:dyDescent="0.2">
      <c r="B87" s="166"/>
      <c r="C87" s="166"/>
      <c r="D87" s="579"/>
      <c r="E87" s="580"/>
      <c r="F87" s="558" t="str">
        <f>IF(ISBLANK(Arbeitsber.!B13),"",Arbeitsber.!B13)</f>
        <v/>
      </c>
      <c r="G87" s="559"/>
      <c r="H87" s="158"/>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298">
        <f t="shared" si="51"/>
        <v>0</v>
      </c>
    </row>
    <row r="88" spans="2:39" x14ac:dyDescent="0.2">
      <c r="B88" s="166"/>
      <c r="C88" s="166"/>
      <c r="D88" s="579"/>
      <c r="E88" s="580"/>
      <c r="F88" s="558" t="str">
        <f>IF(ISBLANK(Arbeitsber.!B14),"",Arbeitsber.!B14)</f>
        <v/>
      </c>
      <c r="G88" s="559"/>
      <c r="H88" s="158"/>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298">
        <f t="shared" si="51"/>
        <v>0</v>
      </c>
    </row>
    <row r="89" spans="2:39" x14ac:dyDescent="0.2">
      <c r="B89" s="166"/>
      <c r="C89" s="166"/>
      <c r="D89" s="579"/>
      <c r="E89" s="580"/>
      <c r="F89" s="558" t="str">
        <f>IF(ISBLANK(Arbeitsber.!B15),"",Arbeitsber.!B15)</f>
        <v/>
      </c>
      <c r="G89" s="559"/>
      <c r="H89" s="158"/>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298">
        <f t="shared" si="51"/>
        <v>0</v>
      </c>
    </row>
    <row r="90" spans="2:39" ht="12.75" customHeight="1" x14ac:dyDescent="0.2">
      <c r="B90" s="166"/>
      <c r="C90" s="166"/>
      <c r="D90" s="579"/>
      <c r="E90" s="580"/>
      <c r="F90" s="558" t="str">
        <f>IF(ISBLANK(Arbeitsber.!B16),"",Arbeitsber.!B16)</f>
        <v/>
      </c>
      <c r="G90" s="559"/>
      <c r="H90" s="158"/>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298">
        <f t="shared" si="51"/>
        <v>0</v>
      </c>
    </row>
    <row r="91" spans="2:39" ht="12.75" customHeight="1" x14ac:dyDescent="0.2">
      <c r="B91" s="470"/>
      <c r="C91" s="166"/>
      <c r="D91" s="581"/>
      <c r="E91" s="582"/>
      <c r="F91" s="560" t="str">
        <f>Arbeitsber.!B17</f>
        <v>Sonstiges</v>
      </c>
      <c r="G91" s="561"/>
      <c r="H91" s="301">
        <f t="shared" ref="H91:AL91" si="52">SUM(((H18-H17)*24)+((H20-H19)*24)+((H22-H21)*24)+H23+(H24*TaginSt))-SUM(H79:H90)</f>
        <v>0</v>
      </c>
      <c r="I91" s="301">
        <f t="shared" si="52"/>
        <v>0</v>
      </c>
      <c r="J91" s="301">
        <f t="shared" si="52"/>
        <v>0</v>
      </c>
      <c r="K91" s="301">
        <f t="shared" si="52"/>
        <v>0</v>
      </c>
      <c r="L91" s="301">
        <f t="shared" si="52"/>
        <v>0</v>
      </c>
      <c r="M91" s="301">
        <f t="shared" si="52"/>
        <v>0</v>
      </c>
      <c r="N91" s="301">
        <f t="shared" si="52"/>
        <v>0</v>
      </c>
      <c r="O91" s="301">
        <f t="shared" si="52"/>
        <v>0</v>
      </c>
      <c r="P91" s="301">
        <f t="shared" si="52"/>
        <v>0</v>
      </c>
      <c r="Q91" s="301">
        <f t="shared" si="52"/>
        <v>0</v>
      </c>
      <c r="R91" s="301">
        <f t="shared" si="52"/>
        <v>0</v>
      </c>
      <c r="S91" s="301">
        <f t="shared" si="52"/>
        <v>0</v>
      </c>
      <c r="T91" s="301">
        <f t="shared" si="52"/>
        <v>0</v>
      </c>
      <c r="U91" s="301">
        <f t="shared" si="52"/>
        <v>0</v>
      </c>
      <c r="V91" s="301">
        <f t="shared" si="52"/>
        <v>0</v>
      </c>
      <c r="W91" s="301">
        <f t="shared" si="52"/>
        <v>0</v>
      </c>
      <c r="X91" s="301">
        <f t="shared" si="52"/>
        <v>0</v>
      </c>
      <c r="Y91" s="301">
        <f t="shared" si="52"/>
        <v>0</v>
      </c>
      <c r="Z91" s="301">
        <f t="shared" si="52"/>
        <v>0</v>
      </c>
      <c r="AA91" s="301">
        <f t="shared" si="52"/>
        <v>0</v>
      </c>
      <c r="AB91" s="301">
        <f t="shared" si="52"/>
        <v>0</v>
      </c>
      <c r="AC91" s="301">
        <f t="shared" si="52"/>
        <v>0</v>
      </c>
      <c r="AD91" s="301">
        <f t="shared" si="52"/>
        <v>0</v>
      </c>
      <c r="AE91" s="301">
        <f t="shared" si="52"/>
        <v>0</v>
      </c>
      <c r="AF91" s="301">
        <f t="shared" si="52"/>
        <v>0</v>
      </c>
      <c r="AG91" s="301">
        <f t="shared" si="52"/>
        <v>0</v>
      </c>
      <c r="AH91" s="301">
        <f t="shared" si="52"/>
        <v>0</v>
      </c>
      <c r="AI91" s="301">
        <f t="shared" si="52"/>
        <v>0</v>
      </c>
      <c r="AJ91" s="301">
        <f t="shared" si="52"/>
        <v>0</v>
      </c>
      <c r="AK91" s="301">
        <f t="shared" si="52"/>
        <v>0</v>
      </c>
      <c r="AL91" s="301">
        <f t="shared" si="52"/>
        <v>0</v>
      </c>
      <c r="AM91" s="298">
        <f>SUM(H91:AL91)</f>
        <v>0</v>
      </c>
    </row>
    <row r="92" spans="2:39" ht="2.1" customHeight="1" x14ac:dyDescent="0.2">
      <c r="B92" s="166"/>
      <c r="C92" s="166"/>
      <c r="D92" s="166"/>
      <c r="E92" s="166"/>
      <c r="F92" s="553"/>
      <c r="G92" s="554"/>
      <c r="H92" s="253"/>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row>
    <row r="93" spans="2:39" ht="78" customHeight="1" x14ac:dyDescent="0.2">
      <c r="B93" s="470" t="str">
        <f>Version</f>
        <v>v25/24.12.28zw</v>
      </c>
      <c r="C93" s="166"/>
      <c r="D93" s="166"/>
      <c r="E93" s="166"/>
      <c r="F93" s="556" t="s">
        <v>60</v>
      </c>
      <c r="G93" s="557"/>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298"/>
    </row>
    <row r="94" spans="2:39" ht="2.1" customHeight="1" x14ac:dyDescent="0.2">
      <c r="B94" s="166"/>
      <c r="C94" s="166"/>
      <c r="D94" s="166"/>
      <c r="E94" s="166"/>
      <c r="F94" s="553"/>
      <c r="G94" s="554"/>
      <c r="H94" s="253"/>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row>
    <row r="95" spans="2:39" ht="12.75" customHeight="1" x14ac:dyDescent="0.2"/>
    <row r="96" spans="2:39" ht="12.75" customHeight="1" x14ac:dyDescent="0.2"/>
    <row r="97" ht="12.75" customHeight="1" x14ac:dyDescent="0.2"/>
    <row r="98" ht="12.75" customHeight="1" x14ac:dyDescent="0.2"/>
    <row r="99" ht="12.75" customHeight="1" x14ac:dyDescent="0.2"/>
  </sheetData>
  <sheetProtection algorithmName="SHA-512" hashValue="6dy9kivdmjNdOs5Su6pNWioW1beRr1aY/nooWqgwwvIzLRlxZqDi7AcLUGaoliEzihRSQBRJ2BbD2t7+CTWxwg==" saltValue="Vxkz+LmhcfgdBcAa9jCHLg==" spinCount="100000" sheet="1" objects="1" scenarios="1"/>
  <mergeCells count="29">
    <mergeCell ref="AO42:AO53"/>
    <mergeCell ref="F42:F55"/>
    <mergeCell ref="F94:G94"/>
    <mergeCell ref="F88:G88"/>
    <mergeCell ref="F89:G89"/>
    <mergeCell ref="F90:G90"/>
    <mergeCell ref="F91:G91"/>
    <mergeCell ref="F92:G92"/>
    <mergeCell ref="F93:G93"/>
    <mergeCell ref="F78:G78"/>
    <mergeCell ref="F56:F68"/>
    <mergeCell ref="F74:F75"/>
    <mergeCell ref="D79:E91"/>
    <mergeCell ref="F79:G79"/>
    <mergeCell ref="F80:G80"/>
    <mergeCell ref="F81:G81"/>
    <mergeCell ref="F82:G82"/>
    <mergeCell ref="F83:G83"/>
    <mergeCell ref="F84:G84"/>
    <mergeCell ref="F85:G85"/>
    <mergeCell ref="F86:G86"/>
    <mergeCell ref="F87:G87"/>
    <mergeCell ref="F41:G41"/>
    <mergeCell ref="F14:F15"/>
    <mergeCell ref="B17:B18"/>
    <mergeCell ref="C17:C18"/>
    <mergeCell ref="F26:F28"/>
    <mergeCell ref="F30:F38"/>
    <mergeCell ref="F17:F24"/>
  </mergeCells>
  <conditionalFormatting sqref="H11:AL12">
    <cfRule type="expression" dxfId="97" priority="10">
      <formula>OR(WEEKDAY(H$12,2)=7,IF(ISERROR(VLOOKUP(H$12,Feiertagsanspruch,1,FALSE)),0,VLOOKUP(H$12,Feiertagsanspruch,1,FALSE)))</formula>
    </cfRule>
  </conditionalFormatting>
  <conditionalFormatting sqref="H17:AL24">
    <cfRule type="expression" dxfId="96" priority="11">
      <formula>OR(WEEKDAY(H$12,2)=7,IF(ISERROR(VLOOKUP(H$12,Feiertagsanspruch,1,FALSE)),0,VLOOKUP(H$12,Feiertagsanspruch,1,FALSE)))</formula>
    </cfRule>
  </conditionalFormatting>
  <conditionalFormatting sqref="H30:AL32 H35:AL38">
    <cfRule type="expression" dxfId="95" priority="4">
      <formula>H$14=0</formula>
    </cfRule>
  </conditionalFormatting>
  <conditionalFormatting sqref="H33:AL34">
    <cfRule type="expression" dxfId="94" priority="1">
      <formula>H$9=0</formula>
    </cfRule>
  </conditionalFormatting>
  <conditionalFormatting sqref="H74:AL74">
    <cfRule type="cellIs" dxfId="93" priority="8" stopIfTrue="1" operator="lessThan">
      <formula>-20</formula>
    </cfRule>
    <cfRule type="cellIs" dxfId="92" priority="9" stopIfTrue="1" operator="greaterThan">
      <formula>50</formula>
    </cfRule>
  </conditionalFormatting>
  <conditionalFormatting sqref="H75:AL75">
    <cfRule type="cellIs" dxfId="91" priority="6" stopIfTrue="1" operator="lessThan">
      <formula>-2.38095238095238</formula>
    </cfRule>
    <cfRule type="cellIs" dxfId="90" priority="7" stopIfTrue="1" operator="greaterThan">
      <formula>5.95238095238095</formula>
    </cfRule>
  </conditionalFormatting>
  <dataValidations count="13">
    <dataValidation allowBlank="1" sqref="H29:AL29" xr:uid="{592B4FD9-7B15-439B-92AB-9AC031040847}"/>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ein ganzer Tag bezogen." sqref="H35:I35 K35:AL35" xr:uid="{A7D59D60-40FE-4F32-AF6D-7171236B9C6C}">
      <formula1>AND(H35&lt;=H6,H35&gt;0,SUM(H30:H38)&lt;=H6,COUNTA(H29:H37)&lt;=MaxAbwesenheitenproTag,OR(H31=""))</formula1>
    </dataValidation>
    <dataValidation type="custom" showInputMessage="1" showErrorMessage="1" errorTitle="Kurzurlaub" error="- Max. Abwesenheit pro Tag (Soll-Zeit) darf nicht überschritten werden._x000a_- Kein Bezug bei Krankheit bzw. Unfall._x000a_- Max. zwei unterschiedliche Abwesenheiten pro Tag._x000a_- Wert 0 nicht erlaubt. Bitte Wert löschen." promptTitle="Kurzurlaub" prompt="Der Kurzurlaub wird aufgrund des Anstellungsgrades automatisch berechnet. " sqref="H32:AL32" xr:uid="{F142D85B-C415-4F31-950F-9EA78037432D}">
      <formula1>AND(H32&lt;=H6,H32&gt;0,SUM(H30:H38)&lt;=H6,COUNTA(H30:H38)&lt;=MaxAbwesenheitenproTag,OR(H31=""))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J31" xr:uid="{26FB278E-BB6A-48E1-A5CE-94E2683AD4EE}">
      <formula1>AND(J31&lt;=100, J31&gt;0,SUM(J30:J38)&lt;=J6,COUNTA(J30:J38)&lt;=MaxAbwesenheitenproTag,OR(AND(J30="",J32="",J33="",J35="",J36="",J37="",J38="")))</formula1>
    </dataValidation>
    <dataValidation type="custom" showInputMessage="1" showErrorMessage="1" errorTitle="Studienurlaub" error="- Max. Abwesenheit pro Tag (Soll-Zeit) darf nicht überschritten werden._x000a_- Kein Bezug bei Krankheit bzw. Unfall._x000a_- Max. zwei unterschiedliche Abwesenheiten pro Tag._x000a_- Wert 0  nicht erlaubt. Bitte Wert löschen." promptTitle="Studienurlaub" prompt="Die Abwesenheit wird aufgrund des Anstellungsgrades automatisch berechnet. Im Normalfall wird 1 ganzer Tag bezogen." sqref="J35" xr:uid="{74B7D52D-9F8A-4393-918A-48A6D80DF807}">
      <formula1>AND(J35&lt;=J6,J35&gt;0,SUM(J30:J38)&lt;=J6,COUNTA(J29:J37)&lt;=MaxAbwesenheitenproTag,OR(J31=""))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H36:I36 K36:AL36" xr:uid="{582D0E55-A524-4F0E-9C76-E40DC2F4E5AF}">
      <formula1>AND(H36&lt;=H6,H36&gt;0,SUM(H30:H38)&lt;=H6,COUNTA(H30:H38)&lt;=MaxAbwesenheitenproTag,OR(H31=""))</formula1>
    </dataValidation>
    <dataValidation type="custom" showInputMessage="1" showErrorMessage="1" errorTitle="Treueprämie" error="- Max. Abwesenheit pro Tag (Soll-Zeit) darf nicht überschritten werden._x000a_- Max. zwei Abwesenheiten pro Tag._x000a_- Wert 0 nicht erlaubt. Bitte Wert löschen." promptTitle="Treueprämie" prompt="Die Abwesenheit wird aufgrund des Anstellungsgrades automatisch berechnet. " sqref="H37:AL37" xr:uid="{4CA4462E-0426-4470-B77F-E6D269FBBD5A}">
      <formula1>AND(H37&lt;=H6, H37&gt;0,SUM(H30:H38)&lt;=H6,COUNTA(H30:H38)&lt;=MaxAbwesenheitenproTag,OR(H31=""))</formula1>
    </dataValidation>
    <dataValidation type="custom" showInputMessage="1" showErrorMessage="1" errorTitle="Langzeitkonto" error="- Max. Abwesenheit pro Tag (Soll-Zeit) darf nicht überschritten werden._x000a_- Max. zwei Abwesenheiten pro Tag._x000a_- Wert 0 nicht erlaubt. Bitte Wert löschen." promptTitle="Langzeitkonto" prompt="Die Abwesenheit wird aufgrund des Anstellungsgrades automatisch berechnet. " sqref="H38:AL38" xr:uid="{077388B1-6EC7-4229-BFF1-6E93197D2DB3}">
      <formula1>AND(H38&lt;=H6, H38&gt;0,SUM(H30:H38)&lt;=H6,COUNTA(H30:H38)&lt;=MaxAbwesenheitenproTag,OR(H31=""))</formula1>
    </dataValidation>
    <dataValidation type="custom" showInputMessage="1" showErrorMessage="1" errorTitle="Mutter- /Vaterschaftsurlaub" error="- Max. Abwesenheit pro Tag (Soll-Zeit) darf nicht überschritten werden._x000a_- Kein Bezug bei Krankheit bzw. Unfall._x000a_- Max. zwei unterschiedliche Abwesenheiten pro Tag._x000a_- Wert 0  nicht erlaubt. Bitte Wert löschen." promptTitle="Mutter- /Vaterschaftsurlaub" prompt="Die Abwesenheit wird aufgrund des Anstellungsgrades automatisch berechnet. Im Normalfall wird 1 ganzer Tag bezogen." sqref="J36" xr:uid="{F58FAED4-6F4B-45F1-9227-3BEAD212453B}">
      <formula1>AND(J36&lt;=J6,J36&gt;0,SUM(J30:J38)&lt;=J6,COUNTA(J30:J38)&lt;=MaxAbwesenheitenproTag,OR(J31=""))</formula1>
    </dataValidation>
    <dataValidation type="custom" showInputMessage="1" showErrorMessage="1" errorTitle="Krankheit/Unfall" error="- Die maximale Abwesenheit beträgt 100%. _x000a_- Max. Abw.(Soll-Zeit) kann nicht überschritten werden._x000a_- Max. zwei Abwesenheiten._x000a_- Wert 0 nicht erlaubt._x000a_- Keine gleichzeitige Krankschreibung bei F/ KU/ MI/ WB/ MU/ TP/ LZK." promptTitle="Krankheit/Unfall" prompt="Arbeitsunfähigkeit in %. Die effektive Kranktage werden aufgrund des Beschäftigungsgrads bzw. Tagessollzeit  automatisch berechnet. " sqref="H31:I31 K31:AL31" xr:uid="{8526B531-85E8-4B7B-B7AD-60A2285D3E15}">
      <formula1>AND(H31&lt;=100, H31&gt;0,SUM(H30:H38)&lt;=H6,COUNTA(H30:H38)&lt;=MaxAbwesenheitenproTag,OR(AND(H30="",H32="",H33="",H35="",H36="",H37="",H38="")))</formula1>
    </dataValidation>
    <dataValidation type="custom" showInputMessage="1" showErrorMessage="1" errorTitle="Ferienabwesenheit" error="- Max. Abwesenheit pro Tag (Soll-Zeit) darf nicht überschritten werden._x000a_- Kein Ferienbezug bei Krankheit bzw. Unfall._x000a_- Max. zwei unterschiedliche Abwesenheiten pro Tag._x000a_- Wert 0 nicht erlaubt. Bitte Wert löschen." promptTitle="Ferienabwesenheit" prompt="Im Normalfall wird 1 ganzer Ferientag bezogen. Der Ferientag wird aufgrund des Anstellungsgrades automatisch berechnet. " sqref="H30:AL30" xr:uid="{3BC7E5BD-2D73-4A2A-BA1E-6829D5A2AB6B}">
      <formula1>AND(H30&lt;=H6,H30&gt;0,SUM(H30:H38)&lt;=H6,COUNTA(H30:H38)&lt;=MaxAbwesenheitenproTag,OR(H31=""))</formula1>
    </dataValidation>
    <dataValidation type="custom" showInputMessage="1" showErrorMessage="1" errorTitle="Militär/CareTeam/Zivilschutz/J&amp;S" error="- Max. Abwesenheit pro Tag darf nicht überschritten werden._x000a_- Kein Bezug bei Krankheit bzw. Unfall._x000a_- Max. zwei unterschiedliche Abwesenheiten pro Tag._x000a_- Wert 0 nicht erlaubt. Bitte Wert löschen." promptTitle="Militär/CareTeam/Zivilschutz/J&amp;S" prompt="Die Abwesenheit wird aufgrund des Anstellungsgrades automatisch berechnet. Im Normalfall wird 1 ganzer Tag bezogen. " sqref="H33:AL33" xr:uid="{2AF28553-866F-424C-BE44-D4BCEBF3F7E6}">
      <formula1>AND(H9&gt;0,H33&lt;=1,H33&gt;0,SUM(H30:H38)&lt;=1,COUNTA(H30:H38)&lt;=MaxAbwesenheitenproTag,OR(H31=""))</formula1>
    </dataValidation>
    <dataValidation type="custom" showInputMessage="1" showErrorMessage="1" errorTitle="Weiterbildung" error="- Max. Abwesenheit pro Tag darf nicht überschritten werden._x000a_- Max. zwei unterschiedliche Abwesenheiten pro Tag._x000a_- Wert 0 nicht erlaubt. Bitte Wert löschen." promptTitle="Weiterbildung" prompt="Die Abwesenheit wird aufgrund des Anstellungsgrades automatisch berechnet. " sqref="H34:AL34" xr:uid="{C704CF1C-FD3E-4F6C-825F-7E0A1D7A425C}">
      <formula1>AND(H9&gt;0,H34&lt;=H5,H34&gt;0,SUM(H30:H38)&lt;=H5,COUNTA(H30:H38)&lt;=MaxAbwesenheitenproTag)</formula1>
    </dataValidation>
  </dataValidations>
  <pageMargins left="0.23622047244094491" right="0.23622047244094491" top="0.74803149606299213" bottom="0.74803149606299213" header="0.31496062992125984" footer="0.31496062992125984"/>
  <pageSetup paperSize="9" scale="59" fitToHeight="0" orientation="landscape" horizontalDpi="0" verticalDpi="0" r:id="rId1"/>
  <headerFooter>
    <oddFooter>&amp;LAusdruck vom &amp;D&amp;C&amp;A&amp;R&amp;P/&amp;N</oddFooter>
  </headerFooter>
  <extLst>
    <ext xmlns:x14="http://schemas.microsoft.com/office/spreadsheetml/2009/9/main" uri="{78C0D931-6437-407d-A8EE-F0AAD7539E65}">
      <x14:conditionalFormattings>
        <x14:conditionalFormatting xmlns:xm="http://schemas.microsoft.com/office/excel/2006/main">
          <x14:cfRule type="iconSet" priority="5" id="{9C012734-7309-446D-8104-8A8D3671ACF0}">
            <x14:iconSet iconSet="4TrafficLights" showValue="0" custom="1">
              <x14:cfvo type="percent">
                <xm:f>0</xm:f>
              </x14:cfvo>
              <x14:cfvo type="num" gte="0">
                <xm:f>8.4</xm:f>
              </x14:cfvo>
              <x14:cfvo type="num" gte="0">
                <xm:f>10</xm:f>
              </x14:cfvo>
              <x14:cfvo type="num" gte="0">
                <xm:f>12</xm:f>
              </x14:cfvo>
              <x14:cfIcon iconSet="3Symbols2" iconId="2"/>
              <x14:cfIcon iconSet="3TrafficLights1" iconId="1"/>
              <x14:cfIcon iconSet="3Symbols" iconId="1"/>
              <x14:cfIcon iconSet="3Symbols" iconId="0"/>
            </x14:iconSet>
          </x14:cfRule>
          <xm:sqref>H28:AM28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Z 2 h V h g + j z y l A A A A 9 g A A A B I A H A B D b 2 5 m a W c v U G F j a 2 F n Z S 5 4 b W w g o h g A K K A U A A A A A A A A A A A A A A A A A A A A A A A A A A A A h Y + 9 D o I w G E V f h X S n P 0 i M I R 9 l Y H G Q x M T E u D a l Q i M U Q 4 v l 3 R x 8 J F 9 B j K J u j v f c M 9 x 7 v 9 4 g G 9 s m u K j e 6 s 6 k i G G K A m V k V 2 p T p W h w x 3 C F M g 5 b I U + i U s E k G 5 u M t k x R 7 d w 5 I c R 7 j / 0 C d 3 1 F I k o Z O R S b n a x V K 9 B H 1 v / l U B v r h J E K c d i / x v A I M 7 b E M Y 0 x B T J D K L T 5 C t G 0 9 9 n + Q M i H x g 2 9 4 q U K 8 z W Q O Q J 5 f + A P U E s D B B Q A A g A I A G G d o 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h n a F W K I p H u A 4 A A A A R A A A A E w A c A E Z v c m 1 1 b G F z L 1 N l Y 3 R p b 2 4 x L m 0 g o h g A K K A U A A A A A A A A A A A A A A A A A A A A A A A A A A A A K 0 5 N L s n M z 1 M I h t C G 1 g B Q S w E C L Q A U A A I A C A B h n a F W G D 6 P P K U A A A D 2 A A A A E g A A A A A A A A A A A A A A A A A A A A A A Q 2 9 u Z m l n L 1 B h Y 2 t h Z 2 U u e G 1 s U E s B A i 0 A F A A C A A g A Y Z 2 h V g / K 6 a u k A A A A 6 Q A A A B M A A A A A A A A A A A A A A A A A 8 Q A A A F t D b 2 5 0 Z W 5 0 X 1 R 5 c G V z X S 5 4 b W x Q S w E C L Q A U A A I A C A B h n a F 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g Y Q h l a v 9 k q P W r U s m W p P 0 w A A A A A C A A A A A A A Q Z g A A A A E A A C A A A A C E i z l J h o V D X A k c S n 6 A Z p z 3 k 1 M l e a A 5 x T t F 3 N Z M K E o 4 Q w A A A A A O g A A A A A I A A C A A A A C n / + l N B B M 0 I G N Z 2 T j S q 8 s E B 2 w 6 6 M P M N k X u K 8 z t 9 Z Q l / 1 A A A A B W P y Q K M l U f L y 6 F W V / S h f J j c 9 e 4 g h r 9 P a t r I M a C L j n 2 l 2 4 m g H P y r R t w J K J g B O z L 3 5 J U 3 P o x c h S n 1 x F y c L Q p W l h e j T 4 9 M Q a i Z J V / o S D r F a L 9 C k A A A A B R W S / A E m C N c 7 k n R G 3 P E k I Q m k / t 1 q Q c v n t / y X i 1 B 6 v 8 q 0 m N E E N T 8 P S R G E 4 A 2 2 2 q h 8 k a N j r A W s p X C 7 a c B T M F J b G m < / D a t a M a s h u p > 
</file>

<file path=customXml/itemProps1.xml><?xml version="1.0" encoding="utf-8"?>
<ds:datastoreItem xmlns:ds="http://schemas.openxmlformats.org/officeDocument/2006/customXml" ds:itemID="{56A4C71C-84F0-41EC-AD4C-1AE6B8911B5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81</vt:i4>
      </vt:variant>
    </vt:vector>
  </HeadingPairs>
  <TitlesOfParts>
    <vt:vector size="103" baseType="lpstr">
      <vt:lpstr>LIES MICH</vt:lpstr>
      <vt:lpstr>LISEZ MOI</vt:lpstr>
      <vt:lpstr>Deckblatt</vt:lpstr>
      <vt:lpstr>Arbeitsber.</vt:lpstr>
      <vt:lpstr>Jan</vt:lpstr>
      <vt:lpstr>Feb</vt:lpstr>
      <vt:lpstr>Mär</vt:lpstr>
      <vt:lpstr>Apr</vt:lpstr>
      <vt:lpstr>Mai</vt:lpstr>
      <vt:lpstr>Jun</vt:lpstr>
      <vt:lpstr>Jul</vt:lpstr>
      <vt:lpstr>Aug</vt:lpstr>
      <vt:lpstr>Sep</vt:lpstr>
      <vt:lpstr>Okt</vt:lpstr>
      <vt:lpstr>Nov</vt:lpstr>
      <vt:lpstr>Dez</vt:lpstr>
      <vt:lpstr>Zusammenzug</vt:lpstr>
      <vt:lpstr>Auswertung</vt:lpstr>
      <vt:lpstr>Deckblatt light</vt:lpstr>
      <vt:lpstr>f. d. couverture light</vt:lpstr>
      <vt:lpstr>Feier-&amp;Freitage</vt:lpstr>
      <vt:lpstr>Formeln</vt:lpstr>
      <vt:lpstr>AAnzTage</vt:lpstr>
      <vt:lpstr>BGrad1</vt:lpstr>
      <vt:lpstr>BGrad2</vt:lpstr>
      <vt:lpstr>BGrad3</vt:lpstr>
      <vt:lpstr>BGrad4</vt:lpstr>
      <vt:lpstr>BGrad5</vt:lpstr>
      <vt:lpstr>Apr!Druckbereich</vt:lpstr>
      <vt:lpstr>Arbeitsber.!Druckbereich</vt:lpstr>
      <vt:lpstr>Aug!Druckbereich</vt:lpstr>
      <vt:lpstr>Auswertung!Druckbereich</vt:lpstr>
      <vt:lpstr>Deckblatt!Druckbereich</vt:lpstr>
      <vt:lpstr>'Deckblatt light'!Druckbereich</vt:lpstr>
      <vt:lpstr>Dez!Druckbereich</vt:lpstr>
      <vt:lpstr>'f. d. couverture light'!Druckbereich</vt:lpstr>
      <vt:lpstr>Feb!Druckbereich</vt:lpstr>
      <vt:lpstr>'Feier-&amp;Freitage'!Druckbereich</vt:lpstr>
      <vt:lpstr>Formeln!Druckbereich</vt:lpstr>
      <vt:lpstr>Jan!Druckbereich</vt:lpstr>
      <vt:lpstr>Jul!Druckbereich</vt:lpstr>
      <vt:lpstr>Jun!Druckbereich</vt:lpstr>
      <vt:lpstr>'LIES MICH'!Druckbereich</vt:lpstr>
      <vt:lpstr>'LISEZ MOI'!Druckbereich</vt:lpstr>
      <vt:lpstr>Mai!Druckbereich</vt:lpstr>
      <vt:lpstr>Mär!Druckbereich</vt:lpstr>
      <vt:lpstr>Nov!Druckbereich</vt:lpstr>
      <vt:lpstr>Okt!Druckbereich</vt:lpstr>
      <vt:lpstr>Sep!Druckbereich</vt:lpstr>
      <vt:lpstr>Zusammenzug!Druckbereich</vt:lpstr>
      <vt:lpstr>DUAM1</vt:lpstr>
      <vt:lpstr>DUAM2</vt:lpstr>
      <vt:lpstr>DUAM3</vt:lpstr>
      <vt:lpstr>DUAM4</vt:lpstr>
      <vt:lpstr>DUAM5</vt:lpstr>
      <vt:lpstr>DUAT1</vt:lpstr>
      <vt:lpstr>DUAT2</vt:lpstr>
      <vt:lpstr>DUAT3</vt:lpstr>
      <vt:lpstr>DUAT4</vt:lpstr>
      <vt:lpstr>DUAT5</vt:lpstr>
      <vt:lpstr>DUEM1</vt:lpstr>
      <vt:lpstr>DUEM2</vt:lpstr>
      <vt:lpstr>DUEM3</vt:lpstr>
      <vt:lpstr>DUEM4</vt:lpstr>
      <vt:lpstr>DUEM5</vt:lpstr>
      <vt:lpstr>DUET1</vt:lpstr>
      <vt:lpstr>DUET2</vt:lpstr>
      <vt:lpstr>DUET3</vt:lpstr>
      <vt:lpstr>DUET4</vt:lpstr>
      <vt:lpstr>DUET5</vt:lpstr>
      <vt:lpstr>Feiertagsanspruch</vt:lpstr>
      <vt:lpstr>Ferienanspruch</vt:lpstr>
      <vt:lpstr>Ferienkorrektur</vt:lpstr>
      <vt:lpstr>FTSt1</vt:lpstr>
      <vt:lpstr>FTSt2</vt:lpstr>
      <vt:lpstr>GebJ</vt:lpstr>
      <vt:lpstr>GuthLangzeitAnfJahrinStunden</vt:lpstr>
      <vt:lpstr>GuthLangzeitEndVorJahrinStunden</vt:lpstr>
      <vt:lpstr>GutschriftTreueprämie</vt:lpstr>
      <vt:lpstr>Jahr</vt:lpstr>
      <vt:lpstr>JahresBG</vt:lpstr>
      <vt:lpstr>Kirchgemeinde</vt:lpstr>
      <vt:lpstr>KSJ</vt:lpstr>
      <vt:lpstr>MaxAbwesenheitenproTag</vt:lpstr>
      <vt:lpstr>Ostern</vt:lpstr>
      <vt:lpstr>Pfarrer</vt:lpstr>
      <vt:lpstr>SaldoStdEndeApr</vt:lpstr>
      <vt:lpstr>SaldoStdEndeAug</vt:lpstr>
      <vt:lpstr>SaldoStdEndeFeb</vt:lpstr>
      <vt:lpstr>SaldoStdEndeJan</vt:lpstr>
      <vt:lpstr>SaldoStdEndeJul</vt:lpstr>
      <vt:lpstr>SaldoStdEndeJuni</vt:lpstr>
      <vt:lpstr>SaldoStdEndeMai</vt:lpstr>
      <vt:lpstr>SaldoStdEndeMär</vt:lpstr>
      <vt:lpstr>SaldoStdEndeNov</vt:lpstr>
      <vt:lpstr>SaldoStdEndeOkt</vt:lpstr>
      <vt:lpstr>SaldoStdEndeSep</vt:lpstr>
      <vt:lpstr>TageBGeffektiv</vt:lpstr>
      <vt:lpstr>TaginSt</vt:lpstr>
      <vt:lpstr>TotalFerienanspruchinStunden</vt:lpstr>
      <vt:lpstr>TotalFerienanspruchinTagengemPensum</vt:lpstr>
      <vt:lpstr>TotalferiernanspruchinGanztagen</vt:lpstr>
      <vt:lpstr>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Abwesenheitserfassung Pfarrpersonen</dc:title>
  <dc:creator>Simon Zwygart</dc:creator>
  <cp:lastModifiedBy>Simon Zwygart (Ref. Kirchgemeinde Konolfingen)</cp:lastModifiedBy>
  <cp:lastPrinted>2024-12-30T05:39:20Z</cp:lastPrinted>
  <dcterms:created xsi:type="dcterms:W3CDTF">1999-01-11T16:06:27Z</dcterms:created>
  <dcterms:modified xsi:type="dcterms:W3CDTF">2024-12-30T05:56:35Z</dcterms:modified>
</cp:coreProperties>
</file>